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opes.SYNAPSE\Desktop\AESC 2018 Files\"/>
    </mc:Choice>
  </mc:AlternateContent>
  <bookViews>
    <workbookView xWindow="0" yWindow="0" windowWidth="23040" windowHeight="10860" tabRatio="868"/>
  </bookViews>
  <sheets>
    <sheet name="User Selectable Programs" sheetId="20" r:id="rId1"/>
    <sheet name="Supporting Worksheets&gt;&gt;&gt;" sheetId="23" r:id="rId2"/>
    <sheet name="Capacity Price Forecast" sheetId="19" r:id="rId3"/>
    <sheet name="Avoided Cap LFE (Addendum T2)" sheetId="15" r:id="rId4"/>
    <sheet name="Gross Uncl. DRIPE (Table 145)" sheetId="21" r:id="rId5"/>
    <sheet name="DRIPE LFE (Table 146)" sheetId="7" r:id="rId6"/>
    <sheet name="Summary" sheetId="16" state="hidden" r:id="rId7"/>
    <sheet name="Reliability" sheetId="17" state="hidden" r:id="rId8"/>
    <sheet name="Reliability Schedules" sheetId="18" state="hidden" r:id="rId9"/>
    <sheet name="Wholesale Avoided Capacity" sheetId="12" state="hidden" r:id="rId10"/>
    <sheet name="Sheet2" sheetId="22" state="hidden" r:id="rId11"/>
    <sheet name="Capacity Forecast" sheetId="13" state="hidden" r:id="rId12"/>
    <sheet name="Price Schedule" sheetId="8" state="hidden" r:id="rId13"/>
    <sheet name="DRIPE - Blended" sheetId="10" state="hidden" r:id="rId14"/>
    <sheet name="DRIPE - Uncleared" sheetId="11" state="hidden" r:id="rId15"/>
    <sheet name="DRIPE - Cleared" sheetId="9" state="hidden" r:id="rId16"/>
    <sheet name="DRIPE FCM Bid Responsive Share" sheetId="2" state="hidden" r:id="rId17"/>
    <sheet name="Gross Demand" sheetId="5" state="hidden" r:id="rId18"/>
  </sheets>
  <calcPr calcId="179017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0" l="1"/>
  <c r="D54" i="20"/>
  <c r="D5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L40" i="20"/>
  <c r="D40" i="20"/>
  <c r="L39" i="20"/>
  <c r="D39" i="20"/>
  <c r="L38" i="20"/>
  <c r="D38" i="20"/>
  <c r="L37" i="20"/>
  <c r="D37" i="20"/>
  <c r="L36" i="20"/>
  <c r="D36" i="20"/>
  <c r="L35" i="20"/>
  <c r="D35" i="20"/>
  <c r="L34" i="20"/>
  <c r="D34" i="20"/>
  <c r="L33" i="20"/>
  <c r="D33" i="20"/>
  <c r="L32" i="20"/>
  <c r="D32" i="20"/>
  <c r="L31" i="20"/>
  <c r="D31" i="20"/>
  <c r="L30" i="20"/>
  <c r="D30" i="20"/>
  <c r="L29" i="20"/>
  <c r="D29" i="20"/>
  <c r="L28" i="20"/>
  <c r="D28" i="20"/>
  <c r="L27" i="20"/>
  <c r="D27" i="20"/>
  <c r="L26" i="20"/>
  <c r="D26" i="20"/>
  <c r="L25" i="20"/>
  <c r="D25" i="20"/>
  <c r="L24" i="20"/>
  <c r="D24" i="20"/>
  <c r="L23" i="20"/>
  <c r="D23" i="20"/>
  <c r="R20" i="20" l="1"/>
  <c r="Q20" i="20"/>
  <c r="P20" i="20"/>
  <c r="J25" i="20"/>
  <c r="K25" i="20"/>
  <c r="J26" i="20"/>
  <c r="K26" i="20"/>
  <c r="J27" i="20"/>
  <c r="K27" i="20"/>
  <c r="J28" i="20"/>
  <c r="K28" i="20"/>
  <c r="J29" i="20"/>
  <c r="K29" i="20"/>
  <c r="J30" i="20"/>
  <c r="K30" i="20"/>
  <c r="J31" i="20"/>
  <c r="K31" i="20"/>
  <c r="J32" i="20"/>
  <c r="K32" i="20"/>
  <c r="J33" i="20"/>
  <c r="K33" i="20"/>
  <c r="J34" i="20"/>
  <c r="K34" i="20"/>
  <c r="J35" i="20"/>
  <c r="K35" i="20"/>
  <c r="J36" i="20"/>
  <c r="K36" i="20"/>
  <c r="J37" i="20"/>
  <c r="K37" i="20"/>
  <c r="J38" i="20"/>
  <c r="K38" i="20"/>
  <c r="J39" i="20"/>
  <c r="K39" i="20"/>
  <c r="J40" i="20"/>
  <c r="K40" i="20"/>
  <c r="K24" i="20"/>
  <c r="J24" i="20"/>
  <c r="K23" i="20"/>
  <c r="J23" i="20"/>
  <c r="J13" i="7"/>
  <c r="B6" i="7"/>
  <c r="B5" i="7"/>
  <c r="F22" i="20"/>
  <c r="H22" i="20" s="1"/>
  <c r="N22" i="20" s="1"/>
  <c r="B6" i="15"/>
  <c r="N42" i="15" s="1"/>
  <c r="B5" i="15"/>
  <c r="P22" i="20" l="1"/>
  <c r="J22" i="20"/>
  <c r="C44" i="15"/>
  <c r="C43" i="15"/>
  <c r="D44" i="15" s="1"/>
  <c r="Q44" i="15"/>
  <c r="Q42" i="15"/>
  <c r="Q43" i="15"/>
  <c r="C42" i="15"/>
  <c r="D43" i="15" s="1"/>
  <c r="E44" i="15" s="1"/>
  <c r="P44" i="15"/>
  <c r="T43" i="15"/>
  <c r="T42" i="15"/>
  <c r="S44" i="15"/>
  <c r="O44" i="15"/>
  <c r="S43" i="15"/>
  <c r="O43" i="15"/>
  <c r="S42" i="15"/>
  <c r="O42" i="15"/>
  <c r="T44" i="15"/>
  <c r="P43" i="15"/>
  <c r="P42" i="15"/>
  <c r="R44" i="15"/>
  <c r="N44" i="15"/>
  <c r="R43" i="15"/>
  <c r="N43" i="15"/>
  <c r="R42" i="15"/>
  <c r="R22" i="20" l="1"/>
  <c r="Q22" i="20"/>
  <c r="K22" i="20"/>
  <c r="M22" i="20"/>
  <c r="G13" i="19" l="1"/>
  <c r="F24" i="20" s="1"/>
  <c r="G14" i="19"/>
  <c r="F25" i="20" s="1"/>
  <c r="G15" i="19"/>
  <c r="F26" i="20" s="1"/>
  <c r="G16" i="19"/>
  <c r="F27" i="20" s="1"/>
  <c r="G17" i="19"/>
  <c r="F28" i="20" s="1"/>
  <c r="G18" i="19"/>
  <c r="F29" i="20" s="1"/>
  <c r="G19" i="19"/>
  <c r="F30" i="20" s="1"/>
  <c r="G20" i="19"/>
  <c r="F31" i="20" s="1"/>
  <c r="G21" i="19"/>
  <c r="F32" i="20" s="1"/>
  <c r="G22" i="19"/>
  <c r="F33" i="20" s="1"/>
  <c r="G23" i="19"/>
  <c r="F34" i="20" s="1"/>
  <c r="G24" i="19"/>
  <c r="F35" i="20" s="1"/>
  <c r="G25" i="19"/>
  <c r="F36" i="20" s="1"/>
  <c r="G26" i="19"/>
  <c r="F37" i="20" s="1"/>
  <c r="G27" i="19"/>
  <c r="F38" i="20" s="1"/>
  <c r="G28" i="19"/>
  <c r="F39" i="20" s="1"/>
  <c r="G29" i="19"/>
  <c r="F40" i="20" s="1"/>
  <c r="G12" i="19"/>
  <c r="F23" i="20" s="1"/>
  <c r="G44" i="19"/>
  <c r="F55" i="20" s="1"/>
  <c r="G38" i="19" l="1"/>
  <c r="F49" i="20" s="1"/>
  <c r="G34" i="19"/>
  <c r="F45" i="20" s="1"/>
  <c r="G30" i="19"/>
  <c r="F41" i="20" s="1"/>
  <c r="G41" i="19"/>
  <c r="F52" i="20" s="1"/>
  <c r="G37" i="19"/>
  <c r="F48" i="20" s="1"/>
  <c r="G33" i="19"/>
  <c r="F44" i="20" s="1"/>
  <c r="G42" i="19"/>
  <c r="F53" i="20" s="1"/>
  <c r="G40" i="19"/>
  <c r="F51" i="20" s="1"/>
  <c r="G36" i="19"/>
  <c r="F47" i="20" s="1"/>
  <c r="G32" i="19"/>
  <c r="F43" i="20" s="1"/>
  <c r="G43" i="19"/>
  <c r="F54" i="20" s="1"/>
  <c r="G39" i="19"/>
  <c r="F50" i="20" s="1"/>
  <c r="G35" i="19"/>
  <c r="F46" i="20" s="1"/>
  <c r="G31" i="19"/>
  <c r="F42" i="20" s="1"/>
  <c r="C15" i="12"/>
  <c r="B7" i="9" l="1"/>
  <c r="B5" i="2" l="1"/>
  <c r="H15" i="2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14" i="2"/>
  <c r="J14" i="7"/>
  <c r="J15" i="7" s="1"/>
  <c r="J16" i="7" s="1"/>
  <c r="J17" i="7" s="1"/>
  <c r="B6" i="2"/>
  <c r="B7" i="2"/>
  <c r="B5" i="17"/>
  <c r="B9" i="17"/>
  <c r="A11" i="18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10" i="18"/>
  <c r="A15" i="17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H7" i="17"/>
  <c r="E7" i="17"/>
  <c r="B7" i="17"/>
  <c r="H6" i="17"/>
  <c r="E6" i="17"/>
  <c r="B6" i="17"/>
  <c r="H5" i="17"/>
  <c r="F31" i="17" s="1"/>
  <c r="E5" i="17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24" i="16"/>
  <c r="H5" i="12"/>
  <c r="H6" i="12"/>
  <c r="H7" i="12"/>
  <c r="E6" i="12"/>
  <c r="E7" i="12"/>
  <c r="E5" i="12"/>
  <c r="B6" i="12"/>
  <c r="AB12" i="15"/>
  <c r="AB13" i="15" s="1"/>
  <c r="AB14" i="15" s="1"/>
  <c r="AB15" i="15" s="1"/>
  <c r="AB16" i="15" s="1"/>
  <c r="AB17" i="15" s="1"/>
  <c r="AB18" i="15" s="1"/>
  <c r="AB19" i="15" s="1"/>
  <c r="AB20" i="15" s="1"/>
  <c r="AB21" i="15" s="1"/>
  <c r="AB22" i="15" s="1"/>
  <c r="AB23" i="15" s="1"/>
  <c r="AB24" i="15" s="1"/>
  <c r="AB25" i="15" s="1"/>
  <c r="AB26" i="15" s="1"/>
  <c r="AB27" i="15" s="1"/>
  <c r="AB28" i="15" s="1"/>
  <c r="AB29" i="15" s="1"/>
  <c r="AB30" i="15" s="1"/>
  <c r="AB31" i="15" s="1"/>
  <c r="AB32" i="15" s="1"/>
  <c r="AB33" i="15" s="1"/>
  <c r="AB34" i="15" s="1"/>
  <c r="AB35" i="15" s="1"/>
  <c r="AB36" i="15" s="1"/>
  <c r="AB37" i="15" s="1"/>
  <c r="AB38" i="15" s="1"/>
  <c r="AB39" i="15" s="1"/>
  <c r="AB40" i="15" s="1"/>
  <c r="AB41" i="15" s="1"/>
  <c r="AB42" i="15" s="1"/>
  <c r="AB43" i="15" s="1"/>
  <c r="AB44" i="15" s="1"/>
  <c r="AB45" i="15" s="1"/>
  <c r="AB46" i="15" s="1"/>
  <c r="B7" i="12"/>
  <c r="B5" i="12"/>
  <c r="B8" i="10"/>
  <c r="B9" i="10"/>
  <c r="B11" i="10"/>
  <c r="B12" i="10"/>
  <c r="B13" i="10"/>
  <c r="B7" i="10"/>
  <c r="AI13" i="15"/>
  <c r="AI14" i="15" s="1"/>
  <c r="AI15" i="15" s="1"/>
  <c r="AI16" i="15" s="1"/>
  <c r="AI17" i="15" s="1"/>
  <c r="AI18" i="15" s="1"/>
  <c r="AI19" i="15" s="1"/>
  <c r="AI20" i="15" s="1"/>
  <c r="AI21" i="15" s="1"/>
  <c r="AI22" i="15" s="1"/>
  <c r="AI23" i="15" s="1"/>
  <c r="AI24" i="15" s="1"/>
  <c r="AI25" i="15" s="1"/>
  <c r="AI26" i="15" s="1"/>
  <c r="AI27" i="15" s="1"/>
  <c r="AI28" i="15" s="1"/>
  <c r="AI29" i="15" s="1"/>
  <c r="AI30" i="15" s="1"/>
  <c r="AI31" i="15" s="1"/>
  <c r="AI32" i="15" s="1"/>
  <c r="AI33" i="15" s="1"/>
  <c r="AI34" i="15" s="1"/>
  <c r="AI35" i="15" s="1"/>
  <c r="AI36" i="15" s="1"/>
  <c r="AI37" i="15" s="1"/>
  <c r="AI38" i="15" s="1"/>
  <c r="AI39" i="15" s="1"/>
  <c r="AI40" i="15" s="1"/>
  <c r="AI41" i="15" s="1"/>
  <c r="AI42" i="15" s="1"/>
  <c r="AI43" i="15" s="1"/>
  <c r="AI44" i="15" s="1"/>
  <c r="AI45" i="15" s="1"/>
  <c r="AI46" i="15" s="1"/>
  <c r="J12" i="15"/>
  <c r="J13" i="15"/>
  <c r="J14" i="15"/>
  <c r="J15" i="15"/>
  <c r="J16" i="15"/>
  <c r="AD13" i="15"/>
  <c r="AD14" i="15" s="1"/>
  <c r="AD15" i="15" s="1"/>
  <c r="AD16" i="15" s="1"/>
  <c r="AD17" i="15" s="1"/>
  <c r="AD18" i="15" s="1"/>
  <c r="AD19" i="15" s="1"/>
  <c r="AD20" i="15" s="1"/>
  <c r="AD21" i="15" s="1"/>
  <c r="AD22" i="15" s="1"/>
  <c r="AD23" i="15" s="1"/>
  <c r="AD24" i="15" s="1"/>
  <c r="AD25" i="15" s="1"/>
  <c r="AD26" i="15" s="1"/>
  <c r="AD27" i="15" s="1"/>
  <c r="AD28" i="15" s="1"/>
  <c r="AD29" i="15" s="1"/>
  <c r="AD30" i="15" s="1"/>
  <c r="AD31" i="15" s="1"/>
  <c r="AD32" i="15" s="1"/>
  <c r="AD33" i="15" s="1"/>
  <c r="AD34" i="15" s="1"/>
  <c r="AD35" i="15" s="1"/>
  <c r="AD36" i="15" s="1"/>
  <c r="AD37" i="15" s="1"/>
  <c r="AD38" i="15" s="1"/>
  <c r="AD39" i="15" s="1"/>
  <c r="AD40" i="15" s="1"/>
  <c r="AD41" i="15" s="1"/>
  <c r="AD42" i="15" s="1"/>
  <c r="AD43" i="15" s="1"/>
  <c r="AD44" i="15" s="1"/>
  <c r="AD45" i="15" s="1"/>
  <c r="AD46" i="15" s="1"/>
  <c r="Y26" i="15"/>
  <c r="J17" i="15"/>
  <c r="J18" i="7" l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F18" i="15"/>
  <c r="G19" i="15" s="1"/>
  <c r="H20" i="15" s="1"/>
  <c r="I21" i="15" s="1"/>
  <c r="Q35" i="15"/>
  <c r="C24" i="15"/>
  <c r="D25" i="15" s="1"/>
  <c r="E26" i="15" s="1"/>
  <c r="F27" i="15" s="1"/>
  <c r="G28" i="15" s="1"/>
  <c r="H29" i="15" s="1"/>
  <c r="I30" i="15" s="1"/>
  <c r="T38" i="15"/>
  <c r="C30" i="12"/>
  <c r="B41" i="16" s="1"/>
  <c r="C14" i="12"/>
  <c r="B25" i="16" s="1"/>
  <c r="C26" i="12"/>
  <c r="F26" i="12" s="1"/>
  <c r="D37" i="16" s="1"/>
  <c r="C22" i="12"/>
  <c r="B33" i="16" s="1"/>
  <c r="C18" i="12"/>
  <c r="F15" i="12"/>
  <c r="D26" i="16" s="1"/>
  <c r="B26" i="16"/>
  <c r="C29" i="12"/>
  <c r="B40" i="16" s="1"/>
  <c r="C25" i="12"/>
  <c r="F25" i="12" s="1"/>
  <c r="D36" i="16" s="1"/>
  <c r="C21" i="12"/>
  <c r="B32" i="16" s="1"/>
  <c r="C17" i="12"/>
  <c r="F17" i="12" s="1"/>
  <c r="D28" i="16" s="1"/>
  <c r="C28" i="12"/>
  <c r="C24" i="12"/>
  <c r="C20" i="12"/>
  <c r="C16" i="12"/>
  <c r="C13" i="12"/>
  <c r="B24" i="16" s="1"/>
  <c r="C27" i="12"/>
  <c r="C23" i="12"/>
  <c r="C19" i="12"/>
  <c r="F21" i="12"/>
  <c r="D32" i="16" s="1"/>
  <c r="B30" i="17"/>
  <c r="B26" i="17"/>
  <c r="B22" i="17"/>
  <c r="B18" i="17"/>
  <c r="B29" i="17"/>
  <c r="B25" i="17"/>
  <c r="B21" i="17"/>
  <c r="B17" i="17"/>
  <c r="B14" i="17"/>
  <c r="B28" i="17"/>
  <c r="B24" i="17"/>
  <c r="B20" i="17"/>
  <c r="B16" i="17"/>
  <c r="B31" i="17"/>
  <c r="B27" i="17"/>
  <c r="B23" i="17"/>
  <c r="B19" i="17"/>
  <c r="B15" i="17"/>
  <c r="Y27" i="15"/>
  <c r="E18" i="15"/>
  <c r="F19" i="15" s="1"/>
  <c r="G20" i="15" s="1"/>
  <c r="H21" i="15" s="1"/>
  <c r="I22" i="15" s="1"/>
  <c r="C23" i="15"/>
  <c r="D24" i="15" s="1"/>
  <c r="E25" i="15" s="1"/>
  <c r="F26" i="15" s="1"/>
  <c r="G27" i="15" s="1"/>
  <c r="H28" i="15" s="1"/>
  <c r="I29" i="15" s="1"/>
  <c r="S35" i="15"/>
  <c r="N40" i="15"/>
  <c r="C30" i="15"/>
  <c r="D31" i="15" s="1"/>
  <c r="E32" i="15" s="1"/>
  <c r="F33" i="15" s="1"/>
  <c r="G34" i="15" s="1"/>
  <c r="H35" i="15" s="1"/>
  <c r="I36" i="15" s="1"/>
  <c r="C19" i="15"/>
  <c r="D20" i="15" s="1"/>
  <c r="E21" i="15" s="1"/>
  <c r="F22" i="15" s="1"/>
  <c r="G23" i="15" s="1"/>
  <c r="H24" i="15" s="1"/>
  <c r="I25" i="15" s="1"/>
  <c r="N34" i="15"/>
  <c r="T36" i="15"/>
  <c r="Q41" i="15"/>
  <c r="C18" i="15"/>
  <c r="D19" i="15" s="1"/>
  <c r="E20" i="15" s="1"/>
  <c r="F21" i="15" s="1"/>
  <c r="G22" i="15" s="1"/>
  <c r="H23" i="15" s="1"/>
  <c r="I24" i="15" s="1"/>
  <c r="C28" i="15"/>
  <c r="D29" i="15" s="1"/>
  <c r="E30" i="15" s="1"/>
  <c r="F31" i="15" s="1"/>
  <c r="G32" i="15" s="1"/>
  <c r="H33" i="15" s="1"/>
  <c r="I34" i="15" s="1"/>
  <c r="Y20" i="15"/>
  <c r="X20" i="15" s="1"/>
  <c r="P34" i="15"/>
  <c r="R38" i="15"/>
  <c r="Q37" i="15"/>
  <c r="P40" i="15"/>
  <c r="I18" i="15"/>
  <c r="C32" i="15"/>
  <c r="D33" i="15" s="1"/>
  <c r="E34" i="15" s="1"/>
  <c r="F35" i="15" s="1"/>
  <c r="C27" i="15"/>
  <c r="D28" i="15" s="1"/>
  <c r="E29" i="15" s="1"/>
  <c r="F30" i="15" s="1"/>
  <c r="G31" i="15" s="1"/>
  <c r="H32" i="15" s="1"/>
  <c r="I33" i="15" s="1"/>
  <c r="C21" i="15"/>
  <c r="D22" i="15" s="1"/>
  <c r="E23" i="15" s="1"/>
  <c r="F24" i="15" s="1"/>
  <c r="G25" i="15" s="1"/>
  <c r="H26" i="15" s="1"/>
  <c r="I27" i="15" s="1"/>
  <c r="Y21" i="15"/>
  <c r="X21" i="15" s="1"/>
  <c r="C33" i="15"/>
  <c r="D34" i="15" s="1"/>
  <c r="E35" i="15" s="1"/>
  <c r="F36" i="15" s="1"/>
  <c r="G37" i="15" s="1"/>
  <c r="R34" i="15"/>
  <c r="P36" i="15"/>
  <c r="S37" i="15"/>
  <c r="O39" i="15"/>
  <c r="T40" i="15"/>
  <c r="G18" i="15"/>
  <c r="H19" i="15" s="1"/>
  <c r="I20" i="15" s="1"/>
  <c r="C31" i="15"/>
  <c r="D32" i="15" s="1"/>
  <c r="E33" i="15" s="1"/>
  <c r="F34" i="15" s="1"/>
  <c r="G35" i="15" s="1"/>
  <c r="H36" i="15" s="1"/>
  <c r="I37" i="15" s="1"/>
  <c r="C26" i="15"/>
  <c r="D27" i="15" s="1"/>
  <c r="E28" i="15" s="1"/>
  <c r="F29" i="15" s="1"/>
  <c r="G30" i="15" s="1"/>
  <c r="H31" i="15" s="1"/>
  <c r="I32" i="15" s="1"/>
  <c r="C20" i="15"/>
  <c r="D21" i="15" s="1"/>
  <c r="E22" i="15" s="1"/>
  <c r="F23" i="15" s="1"/>
  <c r="G24" i="15" s="1"/>
  <c r="H25" i="15" s="1"/>
  <c r="I26" i="15" s="1"/>
  <c r="Y22" i="15"/>
  <c r="X22" i="15" s="1"/>
  <c r="C41" i="15"/>
  <c r="D42" i="15" s="1"/>
  <c r="O35" i="15"/>
  <c r="R36" i="15"/>
  <c r="N38" i="15"/>
  <c r="S39" i="15"/>
  <c r="O41" i="15"/>
  <c r="H18" i="15"/>
  <c r="I19" i="15" s="1"/>
  <c r="D18" i="15"/>
  <c r="E19" i="15" s="1"/>
  <c r="F20" i="15" s="1"/>
  <c r="G21" i="15" s="1"/>
  <c r="H22" i="15" s="1"/>
  <c r="I23" i="15" s="1"/>
  <c r="C29" i="15"/>
  <c r="D30" i="15" s="1"/>
  <c r="E31" i="15" s="1"/>
  <c r="F32" i="15" s="1"/>
  <c r="G33" i="15" s="1"/>
  <c r="H34" i="15" s="1"/>
  <c r="C25" i="15"/>
  <c r="D26" i="15" s="1"/>
  <c r="E27" i="15" s="1"/>
  <c r="F28" i="15" s="1"/>
  <c r="G29" i="15" s="1"/>
  <c r="H30" i="15" s="1"/>
  <c r="I31" i="15" s="1"/>
  <c r="C22" i="15"/>
  <c r="D23" i="15" s="1"/>
  <c r="E24" i="15" s="1"/>
  <c r="F25" i="15" s="1"/>
  <c r="G26" i="15" s="1"/>
  <c r="H27" i="15" s="1"/>
  <c r="I28" i="15" s="1"/>
  <c r="Y19" i="15"/>
  <c r="T34" i="15"/>
  <c r="N36" i="15"/>
  <c r="O37" i="15"/>
  <c r="P38" i="15"/>
  <c r="Q39" i="15"/>
  <c r="R40" i="15"/>
  <c r="S41" i="15"/>
  <c r="AH10" i="15"/>
  <c r="H38" i="15"/>
  <c r="I39" i="15" s="1"/>
  <c r="O34" i="15"/>
  <c r="S34" i="15"/>
  <c r="P35" i="15"/>
  <c r="T35" i="15"/>
  <c r="Q36" i="15"/>
  <c r="N37" i="15"/>
  <c r="R37" i="15"/>
  <c r="O38" i="15"/>
  <c r="S38" i="15"/>
  <c r="P39" i="15"/>
  <c r="T39" i="15"/>
  <c r="Q40" i="15"/>
  <c r="N41" i="15"/>
  <c r="R41" i="15"/>
  <c r="C34" i="15"/>
  <c r="D35" i="15" s="1"/>
  <c r="E36" i="15" s="1"/>
  <c r="F37" i="15" s="1"/>
  <c r="G38" i="15" s="1"/>
  <c r="H39" i="15" s="1"/>
  <c r="C35" i="15"/>
  <c r="D36" i="15" s="1"/>
  <c r="E37" i="15" s="1"/>
  <c r="F38" i="15" s="1"/>
  <c r="G39" i="15" s="1"/>
  <c r="H40" i="15" s="1"/>
  <c r="I41" i="15" s="1"/>
  <c r="C36" i="15"/>
  <c r="D37" i="15" s="1"/>
  <c r="E38" i="15" s="1"/>
  <c r="F39" i="15" s="1"/>
  <c r="G40" i="15" s="1"/>
  <c r="C37" i="15"/>
  <c r="D38" i="15" s="1"/>
  <c r="E39" i="15" s="1"/>
  <c r="F40" i="15" s="1"/>
  <c r="G41" i="15" s="1"/>
  <c r="H42" i="15" s="1"/>
  <c r="I43" i="15" s="1"/>
  <c r="C38" i="15"/>
  <c r="D39" i="15" s="1"/>
  <c r="E40" i="15" s="1"/>
  <c r="F41" i="15" s="1"/>
  <c r="G42" i="15" s="1"/>
  <c r="H43" i="15" s="1"/>
  <c r="I44" i="15" s="1"/>
  <c r="C39" i="15"/>
  <c r="D40" i="15" s="1"/>
  <c r="E41" i="15" s="1"/>
  <c r="F42" i="15" s="1"/>
  <c r="G43" i="15" s="1"/>
  <c r="H44" i="15" s="1"/>
  <c r="C40" i="15"/>
  <c r="D41" i="15" s="1"/>
  <c r="E42" i="15" s="1"/>
  <c r="F43" i="15" s="1"/>
  <c r="G44" i="15" s="1"/>
  <c r="Q34" i="15"/>
  <c r="N35" i="15"/>
  <c r="R35" i="15"/>
  <c r="O36" i="15"/>
  <c r="S36" i="15"/>
  <c r="P37" i="15"/>
  <c r="T37" i="15"/>
  <c r="Q38" i="15"/>
  <c r="N39" i="15"/>
  <c r="R39" i="15"/>
  <c r="O40" i="15"/>
  <c r="S40" i="15"/>
  <c r="P41" i="15"/>
  <c r="T41" i="15"/>
  <c r="AG12" i="15"/>
  <c r="W15" i="15"/>
  <c r="X26" i="15"/>
  <c r="W14" i="15"/>
  <c r="W26" i="15"/>
  <c r="W13" i="15"/>
  <c r="W12" i="15"/>
  <c r="E9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8" i="13"/>
  <c r="A14" i="12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E43" i="15" l="1"/>
  <c r="W27" i="15"/>
  <c r="Y28" i="15"/>
  <c r="Y29" i="15" s="1"/>
  <c r="Y30" i="15" s="1"/>
  <c r="W30" i="15" s="1"/>
  <c r="W22" i="15"/>
  <c r="W21" i="15"/>
  <c r="W20" i="15"/>
  <c r="B37" i="16"/>
  <c r="B36" i="16"/>
  <c r="F22" i="12"/>
  <c r="D33" i="16" s="1"/>
  <c r="B28" i="16"/>
  <c r="F14" i="12"/>
  <c r="D25" i="16" s="1"/>
  <c r="F30" i="12"/>
  <c r="D41" i="16" s="1"/>
  <c r="F18" i="12"/>
  <c r="D29" i="16" s="1"/>
  <c r="B29" i="16"/>
  <c r="F13" i="12"/>
  <c r="D24" i="16" s="1"/>
  <c r="F29" i="12"/>
  <c r="D40" i="16" s="1"/>
  <c r="F24" i="12"/>
  <c r="D35" i="16" s="1"/>
  <c r="B35" i="16"/>
  <c r="B30" i="16"/>
  <c r="F19" i="12"/>
  <c r="D30" i="16" s="1"/>
  <c r="F28" i="12"/>
  <c r="D39" i="16" s="1"/>
  <c r="B39" i="16"/>
  <c r="B34" i="16"/>
  <c r="F23" i="12"/>
  <c r="D34" i="16" s="1"/>
  <c r="F16" i="12"/>
  <c r="D27" i="16" s="1"/>
  <c r="B27" i="16"/>
  <c r="F27" i="12"/>
  <c r="D38" i="16" s="1"/>
  <c r="B38" i="16"/>
  <c r="F20" i="12"/>
  <c r="D31" i="16" s="1"/>
  <c r="B31" i="16"/>
  <c r="E27" i="17"/>
  <c r="E24" i="17"/>
  <c r="E21" i="17"/>
  <c r="E22" i="17"/>
  <c r="E15" i="17"/>
  <c r="E31" i="17"/>
  <c r="E28" i="17"/>
  <c r="E25" i="17"/>
  <c r="E26" i="17"/>
  <c r="E19" i="17"/>
  <c r="E16" i="17"/>
  <c r="E14" i="17"/>
  <c r="E29" i="17"/>
  <c r="E30" i="17"/>
  <c r="E23" i="17"/>
  <c r="E20" i="17"/>
  <c r="E17" i="17"/>
  <c r="E18" i="17"/>
  <c r="J18" i="15"/>
  <c r="I35" i="15"/>
  <c r="J35" i="15" s="1"/>
  <c r="J34" i="15"/>
  <c r="J33" i="15"/>
  <c r="W19" i="15"/>
  <c r="X19" i="15"/>
  <c r="H41" i="15"/>
  <c r="I40" i="15"/>
  <c r="J40" i="15" s="1"/>
  <c r="J39" i="15"/>
  <c r="G36" i="15"/>
  <c r="AG13" i="15"/>
  <c r="AG14" i="15" s="1"/>
  <c r="AG15" i="15" s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AG31" i="15" s="1"/>
  <c r="AG32" i="15" s="1"/>
  <c r="AG33" i="15" s="1"/>
  <c r="AG34" i="15" s="1"/>
  <c r="AG35" i="15" s="1"/>
  <c r="AG36" i="15" s="1"/>
  <c r="AG37" i="15" s="1"/>
  <c r="AG38" i="15" s="1"/>
  <c r="AG39" i="15" s="1"/>
  <c r="AG40" i="15" s="1"/>
  <c r="AG41" i="15" s="1"/>
  <c r="AG42" i="15" s="1"/>
  <c r="AG43" i="15" s="1"/>
  <c r="AG44" i="15" s="1"/>
  <c r="AG45" i="15" s="1"/>
  <c r="AG46" i="15" s="1"/>
  <c r="J32" i="15"/>
  <c r="Z27" i="15"/>
  <c r="X27" i="15"/>
  <c r="J26" i="15"/>
  <c r="J30" i="15"/>
  <c r="J31" i="15"/>
  <c r="J27" i="15"/>
  <c r="J21" i="15"/>
  <c r="J24" i="15"/>
  <c r="J23" i="15"/>
  <c r="J20" i="15"/>
  <c r="J22" i="15"/>
  <c r="J28" i="15"/>
  <c r="J19" i="15"/>
  <c r="J29" i="15"/>
  <c r="J25" i="15"/>
  <c r="A16" i="10"/>
  <c r="J41" i="15" l="1"/>
  <c r="I42" i="15"/>
  <c r="J42" i="15" s="1"/>
  <c r="W28" i="15"/>
  <c r="Y31" i="15"/>
  <c r="Y32" i="15" s="1"/>
  <c r="W29" i="15"/>
  <c r="F44" i="15"/>
  <c r="J44" i="15" s="1"/>
  <c r="J43" i="15"/>
  <c r="H37" i="15"/>
  <c r="J36" i="15"/>
  <c r="F13" i="2"/>
  <c r="C14" i="7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1" i="10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U13" i="5"/>
  <c r="R13" i="5"/>
  <c r="T12" i="5"/>
  <c r="P12" i="5"/>
  <c r="S11" i="5"/>
  <c r="V10" i="5"/>
  <c r="R10" i="5"/>
  <c r="V9" i="5"/>
  <c r="Q9" i="5"/>
  <c r="U8" i="5"/>
  <c r="T8" i="5"/>
  <c r="Q8" i="5"/>
  <c r="P8" i="5"/>
  <c r="P7" i="5"/>
  <c r="V6" i="5"/>
  <c r="S6" i="5"/>
  <c r="R6" i="5"/>
  <c r="Q13" i="5"/>
  <c r="U9" i="5"/>
  <c r="S7" i="5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8" i="8"/>
  <c r="C6" i="9"/>
  <c r="C20" i="10" s="1"/>
  <c r="J20" i="10" s="1"/>
  <c r="D6" i="9"/>
  <c r="D6" i="11" s="1"/>
  <c r="K6" i="11" s="1"/>
  <c r="E6" i="9"/>
  <c r="E6" i="11" s="1"/>
  <c r="L6" i="11" s="1"/>
  <c r="F6" i="9"/>
  <c r="M6" i="9" s="1"/>
  <c r="G6" i="9"/>
  <c r="G20" i="10" s="1"/>
  <c r="N20" i="10" s="1"/>
  <c r="H6" i="9"/>
  <c r="O6" i="9" s="1"/>
  <c r="B6" i="9"/>
  <c r="B6" i="11" s="1"/>
  <c r="I6" i="11" s="1"/>
  <c r="A8" i="9"/>
  <c r="A9" i="9" s="1"/>
  <c r="F12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13" i="2"/>
  <c r="B18" i="7"/>
  <c r="B19" i="7" s="1"/>
  <c r="Q6" i="5"/>
  <c r="T6" i="5"/>
  <c r="U6" i="5"/>
  <c r="Q7" i="5"/>
  <c r="R7" i="5"/>
  <c r="T7" i="5"/>
  <c r="U7" i="5"/>
  <c r="V7" i="5"/>
  <c r="R8" i="5"/>
  <c r="S8" i="5"/>
  <c r="V8" i="5"/>
  <c r="R9" i="5"/>
  <c r="S9" i="5"/>
  <c r="T9" i="5"/>
  <c r="Q10" i="5"/>
  <c r="S10" i="5"/>
  <c r="T10" i="5"/>
  <c r="U10" i="5"/>
  <c r="Q11" i="5"/>
  <c r="R11" i="5"/>
  <c r="T11" i="5"/>
  <c r="U11" i="5"/>
  <c r="V11" i="5"/>
  <c r="Q12" i="5"/>
  <c r="R12" i="5"/>
  <c r="S12" i="5"/>
  <c r="U12" i="5"/>
  <c r="V12" i="5"/>
  <c r="S13" i="5"/>
  <c r="T13" i="5"/>
  <c r="V13" i="5"/>
  <c r="Q14" i="5"/>
  <c r="S14" i="5"/>
  <c r="T14" i="5"/>
  <c r="U14" i="5"/>
  <c r="P9" i="5"/>
  <c r="P10" i="5"/>
  <c r="P11" i="5"/>
  <c r="P13" i="5"/>
  <c r="P14" i="5"/>
  <c r="P6" i="5"/>
  <c r="J15" i="5"/>
  <c r="J16" i="5" s="1"/>
  <c r="J17" i="5" s="1"/>
  <c r="J18" i="5" s="1"/>
  <c r="J19" i="5" s="1"/>
  <c r="J20" i="5" s="1"/>
  <c r="J21" i="5" s="1"/>
  <c r="K15" i="5"/>
  <c r="K16" i="5" s="1"/>
  <c r="K17" i="5" s="1"/>
  <c r="K18" i="5" s="1"/>
  <c r="K19" i="5" s="1"/>
  <c r="K20" i="5" s="1"/>
  <c r="K21" i="5" s="1"/>
  <c r="L15" i="5"/>
  <c r="L16" i="5" s="1"/>
  <c r="L17" i="5" s="1"/>
  <c r="L18" i="5" s="1"/>
  <c r="L19" i="5" s="1"/>
  <c r="L20" i="5" s="1"/>
  <c r="L21" i="5" s="1"/>
  <c r="L22" i="5" s="1"/>
  <c r="M15" i="5"/>
  <c r="M16" i="5" s="1"/>
  <c r="M17" i="5" s="1"/>
  <c r="M18" i="5" s="1"/>
  <c r="M19" i="5" s="1"/>
  <c r="M20" i="5" s="1"/>
  <c r="M21" i="5" s="1"/>
  <c r="N15" i="5"/>
  <c r="N16" i="5" s="1"/>
  <c r="N17" i="5" s="1"/>
  <c r="N18" i="5" s="1"/>
  <c r="N19" i="5" s="1"/>
  <c r="N20" i="5" s="1"/>
  <c r="N21" i="5" s="1"/>
  <c r="O15" i="5"/>
  <c r="O16" i="5"/>
  <c r="O17" i="5" s="1"/>
  <c r="O18" i="5" s="1"/>
  <c r="O19" i="5" s="1"/>
  <c r="O20" i="5" s="1"/>
  <c r="O21" i="5" s="1"/>
  <c r="I15" i="5"/>
  <c r="I16" i="5" s="1"/>
  <c r="I17" i="5" s="1"/>
  <c r="I18" i="5" s="1"/>
  <c r="I19" i="5" s="1"/>
  <c r="I20" i="5" s="1"/>
  <c r="I21" i="5" s="1"/>
  <c r="W31" i="15" l="1"/>
  <c r="Y33" i="15"/>
  <c r="Y34" i="15" s="1"/>
  <c r="Y35" i="15" s="1"/>
  <c r="Z35" i="15" s="1"/>
  <c r="I38" i="15"/>
  <c r="J38" i="15" s="1"/>
  <c r="J37" i="15"/>
  <c r="C17" i="7"/>
  <c r="C16" i="7"/>
  <c r="C15" i="7"/>
  <c r="W32" i="15"/>
  <c r="Z28" i="15"/>
  <c r="X28" i="15"/>
  <c r="C12" i="7"/>
  <c r="K22" i="5"/>
  <c r="R21" i="5"/>
  <c r="P21" i="5"/>
  <c r="I22" i="5"/>
  <c r="V21" i="5"/>
  <c r="O22" i="5"/>
  <c r="Q21" i="5"/>
  <c r="J22" i="5"/>
  <c r="J23" i="5" s="1"/>
  <c r="Q23" i="5" s="1"/>
  <c r="U21" i="5"/>
  <c r="N22" i="5"/>
  <c r="N23" i="5" s="1"/>
  <c r="U23" i="5" s="1"/>
  <c r="M22" i="5"/>
  <c r="T21" i="5"/>
  <c r="F6" i="11"/>
  <c r="M6" i="11" s="1"/>
  <c r="C13" i="7"/>
  <c r="H6" i="11"/>
  <c r="O6" i="11" s="1"/>
  <c r="G6" i="11"/>
  <c r="N6" i="11" s="1"/>
  <c r="C6" i="11"/>
  <c r="J6" i="11" s="1"/>
  <c r="A22" i="10"/>
  <c r="H20" i="10"/>
  <c r="O20" i="10" s="1"/>
  <c r="D20" i="10"/>
  <c r="K20" i="10" s="1"/>
  <c r="K6" i="9"/>
  <c r="J6" i="9"/>
  <c r="A10" i="9"/>
  <c r="A23" i="10"/>
  <c r="N6" i="9"/>
  <c r="F20" i="10"/>
  <c r="M20" i="10" s="1"/>
  <c r="B20" i="10"/>
  <c r="I20" i="10" s="1"/>
  <c r="E20" i="10"/>
  <c r="L20" i="10" s="1"/>
  <c r="I6" i="9"/>
  <c r="L6" i="9"/>
  <c r="S22" i="5"/>
  <c r="L23" i="5"/>
  <c r="S23" i="5" s="1"/>
  <c r="U22" i="5"/>
  <c r="Q22" i="5"/>
  <c r="S21" i="5"/>
  <c r="Q15" i="5"/>
  <c r="U15" i="5"/>
  <c r="R15" i="5"/>
  <c r="V15" i="5"/>
  <c r="S16" i="5"/>
  <c r="S15" i="5"/>
  <c r="T15" i="5"/>
  <c r="R16" i="5"/>
  <c r="V16" i="5"/>
  <c r="P18" i="5"/>
  <c r="P17" i="5"/>
  <c r="P16" i="5"/>
  <c r="P15" i="5"/>
  <c r="V14" i="5"/>
  <c r="R14" i="5"/>
  <c r="B20" i="7"/>
  <c r="C19" i="7"/>
  <c r="C18" i="7"/>
  <c r="K12" i="7" l="1"/>
  <c r="C7" i="11" s="1"/>
  <c r="K17" i="7"/>
  <c r="F12" i="11" s="1"/>
  <c r="W33" i="15"/>
  <c r="K13" i="7"/>
  <c r="K16" i="7"/>
  <c r="K14" i="7"/>
  <c r="Y36" i="15"/>
  <c r="P22" i="5"/>
  <c r="I23" i="5"/>
  <c r="P23" i="5" s="1"/>
  <c r="T22" i="5"/>
  <c r="M23" i="5"/>
  <c r="T23" i="5" s="1"/>
  <c r="V22" i="5"/>
  <c r="O23" i="5"/>
  <c r="V23" i="5" s="1"/>
  <c r="R22" i="5"/>
  <c r="K23" i="5"/>
  <c r="R23" i="5" s="1"/>
  <c r="B7" i="11"/>
  <c r="K15" i="7"/>
  <c r="A11" i="9"/>
  <c r="A24" i="10"/>
  <c r="U16" i="5"/>
  <c r="Q16" i="5"/>
  <c r="S17" i="5"/>
  <c r="V17" i="5"/>
  <c r="T16" i="5"/>
  <c r="P19" i="5"/>
  <c r="R17" i="5"/>
  <c r="K18" i="7"/>
  <c r="K19" i="7"/>
  <c r="C20" i="7"/>
  <c r="B21" i="7"/>
  <c r="M28" i="20" l="1"/>
  <c r="Q28" i="20" s="1"/>
  <c r="N28" i="20"/>
  <c r="R28" i="20" s="1"/>
  <c r="M26" i="20"/>
  <c r="Q26" i="20" s="1"/>
  <c r="N26" i="20"/>
  <c r="R26" i="20" s="1"/>
  <c r="M29" i="20"/>
  <c r="Q29" i="20" s="1"/>
  <c r="N29" i="20"/>
  <c r="R29" i="20" s="1"/>
  <c r="M30" i="20"/>
  <c r="Q30" i="20" s="1"/>
  <c r="N30" i="20"/>
  <c r="R30" i="20" s="1"/>
  <c r="M24" i="20"/>
  <c r="Q24" i="20" s="1"/>
  <c r="N24" i="20"/>
  <c r="R24" i="20" s="1"/>
  <c r="M25" i="20"/>
  <c r="Q25" i="20" s="1"/>
  <c r="N25" i="20"/>
  <c r="R25" i="20" s="1"/>
  <c r="M27" i="20"/>
  <c r="Q27" i="20" s="1"/>
  <c r="N27" i="20"/>
  <c r="R27" i="20" s="1"/>
  <c r="E8" i="11"/>
  <c r="G7" i="11"/>
  <c r="N7" i="11" s="1"/>
  <c r="G9" i="11"/>
  <c r="E12" i="11"/>
  <c r="D11" i="11"/>
  <c r="B8" i="11"/>
  <c r="H25" i="16" s="1"/>
  <c r="J25" i="16" s="1"/>
  <c r="G8" i="11"/>
  <c r="C12" i="11"/>
  <c r="F8" i="11"/>
  <c r="B12" i="11"/>
  <c r="H29" i="16" s="1"/>
  <c r="J29" i="16" s="1"/>
  <c r="C8" i="11"/>
  <c r="G12" i="11"/>
  <c r="H12" i="11"/>
  <c r="H8" i="11"/>
  <c r="O8" i="11" s="1"/>
  <c r="D12" i="11"/>
  <c r="F7" i="11"/>
  <c r="D7" i="11"/>
  <c r="C11" i="11"/>
  <c r="H7" i="11"/>
  <c r="E7" i="11"/>
  <c r="E11" i="11"/>
  <c r="B11" i="11"/>
  <c r="H28" i="16" s="1"/>
  <c r="J28" i="16" s="1"/>
  <c r="C9" i="11"/>
  <c r="G11" i="11"/>
  <c r="I7" i="11"/>
  <c r="H24" i="16"/>
  <c r="J24" i="16" s="1"/>
  <c r="H11" i="11"/>
  <c r="F11" i="11"/>
  <c r="D8" i="11"/>
  <c r="H9" i="11"/>
  <c r="D9" i="11"/>
  <c r="E9" i="11"/>
  <c r="F9" i="11"/>
  <c r="B9" i="11"/>
  <c r="H26" i="16" s="1"/>
  <c r="J26" i="16" s="1"/>
  <c r="Y37" i="15"/>
  <c r="Y38" i="15" s="1"/>
  <c r="Y39" i="15" s="1"/>
  <c r="Y40" i="15" s="1"/>
  <c r="W34" i="15"/>
  <c r="Z29" i="15"/>
  <c r="X29" i="15"/>
  <c r="E10" i="11"/>
  <c r="H10" i="11"/>
  <c r="F10" i="11"/>
  <c r="C10" i="11"/>
  <c r="G10" i="11"/>
  <c r="B10" i="11"/>
  <c r="H27" i="16" s="1"/>
  <c r="J27" i="16" s="1"/>
  <c r="D10" i="11"/>
  <c r="E14" i="11"/>
  <c r="H14" i="11"/>
  <c r="F14" i="11"/>
  <c r="D14" i="11"/>
  <c r="C14" i="11"/>
  <c r="G14" i="11"/>
  <c r="B14" i="11"/>
  <c r="H31" i="16" s="1"/>
  <c r="J31" i="16" s="1"/>
  <c r="C13" i="11"/>
  <c r="G13" i="11"/>
  <c r="D13" i="11"/>
  <c r="H13" i="11"/>
  <c r="B13" i="11"/>
  <c r="H30" i="16" s="1"/>
  <c r="J30" i="16" s="1"/>
  <c r="E13" i="11"/>
  <c r="F13" i="11"/>
  <c r="J7" i="11"/>
  <c r="A12" i="9"/>
  <c r="A25" i="10"/>
  <c r="S18" i="5"/>
  <c r="U17" i="5"/>
  <c r="Q17" i="5"/>
  <c r="R18" i="5"/>
  <c r="T17" i="5"/>
  <c r="P20" i="5"/>
  <c r="V18" i="5"/>
  <c r="K20" i="7"/>
  <c r="B22" i="7"/>
  <c r="C21" i="7"/>
  <c r="M12" i="11" l="1"/>
  <c r="J8" i="11"/>
  <c r="K12" i="11"/>
  <c r="J11" i="11"/>
  <c r="N8" i="11"/>
  <c r="M8" i="11"/>
  <c r="K8" i="11"/>
  <c r="I11" i="11"/>
  <c r="I8" i="11"/>
  <c r="L8" i="11"/>
  <c r="K11" i="11"/>
  <c r="M31" i="20"/>
  <c r="Q31" i="20" s="1"/>
  <c r="N31" i="20"/>
  <c r="R31" i="20" s="1"/>
  <c r="W40" i="15"/>
  <c r="Z40" i="15"/>
  <c r="X40" i="15"/>
  <c r="Y41" i="15"/>
  <c r="O12" i="11"/>
  <c r="M11" i="11"/>
  <c r="N11" i="11"/>
  <c r="I12" i="11"/>
  <c r="L12" i="11"/>
  <c r="N12" i="11"/>
  <c r="J12" i="11"/>
  <c r="M7" i="11"/>
  <c r="K7" i="11"/>
  <c r="O7" i="11"/>
  <c r="L11" i="11"/>
  <c r="L7" i="11"/>
  <c r="O11" i="11"/>
  <c r="I9" i="11"/>
  <c r="N9" i="11"/>
  <c r="J9" i="11"/>
  <c r="O9" i="11"/>
  <c r="L9" i="11"/>
  <c r="K9" i="11"/>
  <c r="M9" i="11"/>
  <c r="W35" i="15"/>
  <c r="W36" i="15"/>
  <c r="W37" i="15"/>
  <c r="C15" i="11"/>
  <c r="G15" i="11"/>
  <c r="D15" i="11"/>
  <c r="H15" i="11"/>
  <c r="E15" i="11"/>
  <c r="F15" i="11"/>
  <c r="B15" i="11"/>
  <c r="H32" i="16" s="1"/>
  <c r="J32" i="16" s="1"/>
  <c r="I10" i="11"/>
  <c r="K10" i="11"/>
  <c r="O10" i="11"/>
  <c r="J10" i="11"/>
  <c r="M10" i="11"/>
  <c r="L10" i="11"/>
  <c r="N10" i="11"/>
  <c r="J14" i="11"/>
  <c r="M14" i="11"/>
  <c r="K14" i="11"/>
  <c r="I14" i="11"/>
  <c r="N14" i="11"/>
  <c r="O14" i="11"/>
  <c r="L14" i="11"/>
  <c r="I13" i="11"/>
  <c r="N13" i="11"/>
  <c r="L13" i="11"/>
  <c r="K13" i="11"/>
  <c r="M13" i="11"/>
  <c r="J13" i="11"/>
  <c r="O13" i="11"/>
  <c r="A13" i="9"/>
  <c r="A26" i="10"/>
  <c r="U18" i="5"/>
  <c r="S19" i="5"/>
  <c r="Q18" i="5"/>
  <c r="V19" i="5"/>
  <c r="T18" i="5"/>
  <c r="R19" i="5"/>
  <c r="B23" i="7"/>
  <c r="C22" i="7"/>
  <c r="K21" i="7"/>
  <c r="M32" i="20" l="1"/>
  <c r="Q32" i="20" s="1"/>
  <c r="N32" i="20"/>
  <c r="R32" i="20" s="1"/>
  <c r="W41" i="15"/>
  <c r="Z41" i="15"/>
  <c r="X41" i="15"/>
  <c r="Y42" i="15"/>
  <c r="W38" i="15"/>
  <c r="Z30" i="15"/>
  <c r="X30" i="15"/>
  <c r="E16" i="11"/>
  <c r="E25" i="11" s="1"/>
  <c r="B16" i="11"/>
  <c r="H16" i="11"/>
  <c r="F16" i="11"/>
  <c r="F25" i="11" s="1"/>
  <c r="C16" i="11"/>
  <c r="C25" i="11" s="1"/>
  <c r="G16" i="11"/>
  <c r="D16" i="11"/>
  <c r="I15" i="11"/>
  <c r="L15" i="11"/>
  <c r="N15" i="11"/>
  <c r="K15" i="11"/>
  <c r="M15" i="11"/>
  <c r="J15" i="11"/>
  <c r="O15" i="11"/>
  <c r="A14" i="9"/>
  <c r="A27" i="10"/>
  <c r="S20" i="5"/>
  <c r="Q19" i="5"/>
  <c r="U19" i="5"/>
  <c r="T19" i="5"/>
  <c r="R20" i="5"/>
  <c r="V20" i="5"/>
  <c r="K22" i="7"/>
  <c r="B24" i="7"/>
  <c r="C23" i="7"/>
  <c r="M33" i="20" l="1"/>
  <c r="Q33" i="20" s="1"/>
  <c r="N33" i="20"/>
  <c r="R33" i="20" s="1"/>
  <c r="W42" i="15"/>
  <c r="Z42" i="15"/>
  <c r="X42" i="15"/>
  <c r="Y43" i="15"/>
  <c r="B25" i="11"/>
  <c r="H33" i="16"/>
  <c r="J33" i="16" s="1"/>
  <c r="W39" i="15"/>
  <c r="C17" i="11"/>
  <c r="G17" i="11"/>
  <c r="D17" i="11"/>
  <c r="H17" i="11"/>
  <c r="B17" i="11"/>
  <c r="H34" i="16" s="1"/>
  <c r="J34" i="16" s="1"/>
  <c r="F17" i="11"/>
  <c r="E17" i="11"/>
  <c r="H25" i="11"/>
  <c r="D25" i="11"/>
  <c r="N16" i="11"/>
  <c r="O16" i="11"/>
  <c r="I16" i="11"/>
  <c r="M16" i="11"/>
  <c r="J16" i="11"/>
  <c r="J25" i="11" s="1"/>
  <c r="K16" i="11"/>
  <c r="G25" i="11"/>
  <c r="L16" i="11"/>
  <c r="A15" i="9"/>
  <c r="A28" i="10"/>
  <c r="Q20" i="5"/>
  <c r="U20" i="5"/>
  <c r="T20" i="5"/>
  <c r="K23" i="7"/>
  <c r="C24" i="7"/>
  <c r="B25" i="7"/>
  <c r="M34" i="20" l="1"/>
  <c r="Q34" i="20" s="1"/>
  <c r="N34" i="20"/>
  <c r="R34" i="20" s="1"/>
  <c r="W43" i="15"/>
  <c r="Z43" i="15"/>
  <c r="X43" i="15"/>
  <c r="Y44" i="15"/>
  <c r="Z31" i="15"/>
  <c r="X31" i="15"/>
  <c r="E18" i="11"/>
  <c r="H18" i="11"/>
  <c r="F18" i="11"/>
  <c r="C18" i="11"/>
  <c r="G18" i="11"/>
  <c r="B18" i="11"/>
  <c r="H35" i="16" s="1"/>
  <c r="J35" i="16" s="1"/>
  <c r="D18" i="11"/>
  <c r="I25" i="11"/>
  <c r="L25" i="11"/>
  <c r="N25" i="11"/>
  <c r="M17" i="11"/>
  <c r="I17" i="11"/>
  <c r="N17" i="11"/>
  <c r="K17" i="11"/>
  <c r="L17" i="11"/>
  <c r="O17" i="11"/>
  <c r="J17" i="11"/>
  <c r="K25" i="11"/>
  <c r="M25" i="11"/>
  <c r="O25" i="11"/>
  <c r="A16" i="9"/>
  <c r="A29" i="10"/>
  <c r="K24" i="7"/>
  <c r="B26" i="7"/>
  <c r="C25" i="7"/>
  <c r="W44" i="15" l="1"/>
  <c r="Z44" i="15"/>
  <c r="X44" i="15"/>
  <c r="Y45" i="15"/>
  <c r="Z32" i="15"/>
  <c r="X32" i="15"/>
  <c r="C19" i="11"/>
  <c r="G19" i="11"/>
  <c r="B19" i="11"/>
  <c r="H36" i="16" s="1"/>
  <c r="J36" i="16" s="1"/>
  <c r="D19" i="11"/>
  <c r="H19" i="11"/>
  <c r="F19" i="11"/>
  <c r="E19" i="11"/>
  <c r="J18" i="11"/>
  <c r="L18" i="11"/>
  <c r="O18" i="11"/>
  <c r="I18" i="11"/>
  <c r="M18" i="11"/>
  <c r="K18" i="11"/>
  <c r="N18" i="11"/>
  <c r="A17" i="9"/>
  <c r="A30" i="10"/>
  <c r="C26" i="7"/>
  <c r="B27" i="7"/>
  <c r="K25" i="7"/>
  <c r="W45" i="15" l="1"/>
  <c r="Z45" i="15"/>
  <c r="X45" i="15"/>
  <c r="Y46" i="15"/>
  <c r="Z33" i="15"/>
  <c r="X33" i="15"/>
  <c r="E20" i="11"/>
  <c r="B20" i="11"/>
  <c r="H37" i="16" s="1"/>
  <c r="J37" i="16" s="1"/>
  <c r="H20" i="11"/>
  <c r="F20" i="11"/>
  <c r="C20" i="11"/>
  <c r="G20" i="11"/>
  <c r="D20" i="11"/>
  <c r="K19" i="11"/>
  <c r="N19" i="11"/>
  <c r="M19" i="11"/>
  <c r="J19" i="11"/>
  <c r="L19" i="11"/>
  <c r="O19" i="11"/>
  <c r="I19" i="11"/>
  <c r="A18" i="9"/>
  <c r="A31" i="10"/>
  <c r="B28" i="7"/>
  <c r="C27" i="7"/>
  <c r="K26" i="7"/>
  <c r="W46" i="15" l="1"/>
  <c r="Z46" i="15"/>
  <c r="X46" i="15"/>
  <c r="Y47" i="15"/>
  <c r="Z34" i="15"/>
  <c r="X34" i="15"/>
  <c r="C21" i="11"/>
  <c r="G21" i="11"/>
  <c r="D21" i="11"/>
  <c r="H21" i="11"/>
  <c r="B21" i="11"/>
  <c r="H38" i="16" s="1"/>
  <c r="J38" i="16" s="1"/>
  <c r="F21" i="11"/>
  <c r="E21" i="11"/>
  <c r="L20" i="11"/>
  <c r="M20" i="11"/>
  <c r="J20" i="11"/>
  <c r="K20" i="11"/>
  <c r="O20" i="11"/>
  <c r="I20" i="11"/>
  <c r="N20" i="11"/>
  <c r="A19" i="9"/>
  <c r="A32" i="10"/>
  <c r="K27" i="7"/>
  <c r="C28" i="7"/>
  <c r="B29" i="7"/>
  <c r="W47" i="15" l="1"/>
  <c r="Z47" i="15"/>
  <c r="X47" i="15"/>
  <c r="Y48" i="15"/>
  <c r="X35" i="15"/>
  <c r="E22" i="11"/>
  <c r="H22" i="11"/>
  <c r="F22" i="11"/>
  <c r="C22" i="11"/>
  <c r="G22" i="11"/>
  <c r="B22" i="11"/>
  <c r="H39" i="16" s="1"/>
  <c r="J39" i="16" s="1"/>
  <c r="D22" i="11"/>
  <c r="M21" i="11"/>
  <c r="I21" i="11"/>
  <c r="J21" i="11"/>
  <c r="O21" i="11"/>
  <c r="N21" i="11"/>
  <c r="L21" i="11"/>
  <c r="K21" i="11"/>
  <c r="A20" i="9"/>
  <c r="A33" i="10"/>
  <c r="K28" i="7"/>
  <c r="B30" i="7"/>
  <c r="C30" i="7" s="1"/>
  <c r="C29" i="7"/>
  <c r="M23" i="20" l="1"/>
  <c r="Q23" i="20" s="1"/>
  <c r="K31" i="7"/>
  <c r="K41" i="7"/>
  <c r="K35" i="7"/>
  <c r="K40" i="7"/>
  <c r="K44" i="7"/>
  <c r="K38" i="7"/>
  <c r="K43" i="7"/>
  <c r="K42" i="7"/>
  <c r="K36" i="7"/>
  <c r="K32" i="7"/>
  <c r="K37" i="7"/>
  <c r="K39" i="7"/>
  <c r="K33" i="7"/>
  <c r="K34" i="7"/>
  <c r="W48" i="15"/>
  <c r="Z48" i="15"/>
  <c r="X48" i="15"/>
  <c r="Y49" i="15"/>
  <c r="Z36" i="15"/>
  <c r="X36" i="15"/>
  <c r="C23" i="11"/>
  <c r="G23" i="11"/>
  <c r="D23" i="11"/>
  <c r="H23" i="11"/>
  <c r="F23" i="11"/>
  <c r="B23" i="11"/>
  <c r="H40" i="16" s="1"/>
  <c r="J40" i="16" s="1"/>
  <c r="E23" i="11"/>
  <c r="J22" i="11"/>
  <c r="M22" i="11"/>
  <c r="K22" i="11"/>
  <c r="I22" i="11"/>
  <c r="N22" i="11"/>
  <c r="O22" i="11"/>
  <c r="L22" i="11"/>
  <c r="A21" i="9"/>
  <c r="A34" i="10"/>
  <c r="K30" i="7"/>
  <c r="K29" i="7"/>
  <c r="N23" i="20" l="1"/>
  <c r="R23" i="20" s="1"/>
  <c r="Q42" i="20"/>
  <c r="R42" i="20"/>
  <c r="M36" i="20"/>
  <c r="Q36" i="20" s="1"/>
  <c r="N36" i="20"/>
  <c r="R36" i="20" s="1"/>
  <c r="Q54" i="20"/>
  <c r="R54" i="20"/>
  <c r="Q52" i="20"/>
  <c r="R52" i="20"/>
  <c r="R55" i="20"/>
  <c r="Q55" i="20"/>
  <c r="M39" i="20"/>
  <c r="Q39" i="20" s="1"/>
  <c r="N39" i="20"/>
  <c r="R39" i="20" s="1"/>
  <c r="Q46" i="20"/>
  <c r="R46" i="20"/>
  <c r="M40" i="20"/>
  <c r="Q40" i="20" s="1"/>
  <c r="N40" i="20"/>
  <c r="R40" i="20" s="1"/>
  <c r="Q53" i="20"/>
  <c r="R53" i="20"/>
  <c r="Q50" i="20"/>
  <c r="R50" i="20"/>
  <c r="Q47" i="20"/>
  <c r="R47" i="20"/>
  <c r="Q44" i="20"/>
  <c r="R44" i="20"/>
  <c r="Q51" i="20"/>
  <c r="R51" i="20"/>
  <c r="R45" i="20"/>
  <c r="Q45" i="20"/>
  <c r="Q43" i="20"/>
  <c r="R43" i="20"/>
  <c r="Q41" i="20"/>
  <c r="R41" i="20"/>
  <c r="M38" i="20"/>
  <c r="Q38" i="20" s="1"/>
  <c r="N38" i="20"/>
  <c r="R38" i="20" s="1"/>
  <c r="Q48" i="20"/>
  <c r="R48" i="20"/>
  <c r="M37" i="20"/>
  <c r="Q37" i="20" s="1"/>
  <c r="N37" i="20"/>
  <c r="R37" i="20" s="1"/>
  <c r="M35" i="20"/>
  <c r="Q35" i="20" s="1"/>
  <c r="N35" i="20"/>
  <c r="R35" i="20" s="1"/>
  <c r="Q49" i="20"/>
  <c r="R49" i="20"/>
  <c r="W49" i="15"/>
  <c r="Z49" i="15"/>
  <c r="X49" i="15"/>
  <c r="Y50" i="15"/>
  <c r="Z37" i="15"/>
  <c r="X37" i="15"/>
  <c r="E24" i="11"/>
  <c r="B24" i="11"/>
  <c r="H41" i="16" s="1"/>
  <c r="J41" i="16" s="1"/>
  <c r="H24" i="11"/>
  <c r="F24" i="11"/>
  <c r="C24" i="11"/>
  <c r="G24" i="11"/>
  <c r="D24" i="11"/>
  <c r="K23" i="11"/>
  <c r="N23" i="11"/>
  <c r="I23" i="11"/>
  <c r="O23" i="11"/>
  <c r="L23" i="11"/>
  <c r="M23" i="11"/>
  <c r="J23" i="11"/>
  <c r="A22" i="9"/>
  <c r="A35" i="10"/>
  <c r="W50" i="15" l="1"/>
  <c r="Z50" i="15"/>
  <c r="X50" i="15"/>
  <c r="Y51" i="15"/>
  <c r="Z38" i="15"/>
  <c r="X38" i="15"/>
  <c r="G26" i="11"/>
  <c r="E26" i="11"/>
  <c r="C26" i="11"/>
  <c r="F26" i="11"/>
  <c r="D26" i="11"/>
  <c r="L24" i="11"/>
  <c r="M24" i="11"/>
  <c r="N24" i="11"/>
  <c r="O24" i="11"/>
  <c r="I24" i="11"/>
  <c r="J24" i="11"/>
  <c r="K24" i="11"/>
  <c r="B26" i="11"/>
  <c r="H26" i="11"/>
  <c r="A23" i="9"/>
  <c r="A36" i="10"/>
  <c r="W51" i="15" l="1"/>
  <c r="Z51" i="15"/>
  <c r="X51" i="15"/>
  <c r="Y52" i="15"/>
  <c r="Z39" i="15"/>
  <c r="X39" i="15"/>
  <c r="I26" i="11"/>
  <c r="O26" i="11"/>
  <c r="L26" i="11"/>
  <c r="K26" i="11"/>
  <c r="N26" i="11"/>
  <c r="J26" i="11"/>
  <c r="M26" i="11"/>
  <c r="A24" i="9"/>
  <c r="A38" i="10" s="1"/>
  <c r="A37" i="10"/>
  <c r="W52" i="15" l="1"/>
  <c r="Z52" i="15"/>
  <c r="X52" i="15"/>
  <c r="Y53" i="15"/>
  <c r="C13" i="2"/>
  <c r="B14" i="2"/>
  <c r="W53" i="15" l="1"/>
  <c r="X53" i="15"/>
  <c r="Z53" i="15"/>
  <c r="Y54" i="15"/>
  <c r="B15" i="2"/>
  <c r="F15" i="2" s="1"/>
  <c r="F14" i="2"/>
  <c r="B16" i="2"/>
  <c r="F16" i="2" s="1"/>
  <c r="C15" i="2"/>
  <c r="C14" i="2"/>
  <c r="W54" i="15" l="1"/>
  <c r="X54" i="15"/>
  <c r="Z54" i="15"/>
  <c r="Y55" i="15"/>
  <c r="B17" i="2"/>
  <c r="F17" i="2" s="1"/>
  <c r="C16" i="2"/>
  <c r="Z55" i="15" l="1"/>
  <c r="X55" i="15"/>
  <c r="W55" i="15"/>
  <c r="Y56" i="15"/>
  <c r="B18" i="2"/>
  <c r="F18" i="2" s="1"/>
  <c r="C17" i="2"/>
  <c r="W56" i="15" l="1"/>
  <c r="X56" i="15"/>
  <c r="Z56" i="15"/>
  <c r="B19" i="2"/>
  <c r="F19" i="2" s="1"/>
  <c r="C18" i="2"/>
  <c r="AE13" i="15" l="1"/>
  <c r="AJ13" i="15" s="1"/>
  <c r="G24" i="20" s="1"/>
  <c r="AE24" i="15"/>
  <c r="AJ24" i="15" s="1"/>
  <c r="G35" i="20" s="1"/>
  <c r="AE14" i="15"/>
  <c r="AJ14" i="15" s="1"/>
  <c r="G25" i="20" s="1"/>
  <c r="AE42" i="15"/>
  <c r="AJ42" i="15" s="1"/>
  <c r="G53" i="20" s="1"/>
  <c r="AE44" i="15"/>
  <c r="AJ44" i="15" s="1"/>
  <c r="G55" i="20" s="1"/>
  <c r="AE25" i="15"/>
  <c r="AJ25" i="15" s="1"/>
  <c r="G36" i="20" s="1"/>
  <c r="AE27" i="15"/>
  <c r="AJ27" i="15" s="1"/>
  <c r="G38" i="20" s="1"/>
  <c r="AE20" i="15"/>
  <c r="AJ20" i="15" s="1"/>
  <c r="G31" i="20" s="1"/>
  <c r="AE31" i="15"/>
  <c r="AJ31" i="15" s="1"/>
  <c r="G42" i="20" s="1"/>
  <c r="AE38" i="15"/>
  <c r="AJ38" i="15" s="1"/>
  <c r="G49" i="20" s="1"/>
  <c r="AE17" i="15"/>
  <c r="AJ17" i="15" s="1"/>
  <c r="G28" i="20" s="1"/>
  <c r="AE40" i="15"/>
  <c r="AJ40" i="15" s="1"/>
  <c r="G51" i="20" s="1"/>
  <c r="AE21" i="15"/>
  <c r="AJ21" i="15" s="1"/>
  <c r="G32" i="20" s="1"/>
  <c r="AE23" i="15"/>
  <c r="AJ23" i="15" s="1"/>
  <c r="G34" i="20" s="1"/>
  <c r="AE16" i="15"/>
  <c r="AJ16" i="15" s="1"/>
  <c r="G27" i="20" s="1"/>
  <c r="AE41" i="15"/>
  <c r="AJ41" i="15" s="1"/>
  <c r="G52" i="20" s="1"/>
  <c r="AE34" i="15"/>
  <c r="AJ34" i="15" s="1"/>
  <c r="G45" i="20" s="1"/>
  <c r="AE45" i="15"/>
  <c r="AJ45" i="15" s="1"/>
  <c r="AE30" i="15"/>
  <c r="AJ30" i="15" s="1"/>
  <c r="G41" i="20" s="1"/>
  <c r="AE19" i="15"/>
  <c r="AJ19" i="15" s="1"/>
  <c r="G30" i="20" s="1"/>
  <c r="AE43" i="15"/>
  <c r="AJ43" i="15" s="1"/>
  <c r="G54" i="20" s="1"/>
  <c r="AE37" i="15"/>
  <c r="AJ37" i="15" s="1"/>
  <c r="G48" i="20" s="1"/>
  <c r="AE26" i="15"/>
  <c r="AJ26" i="15" s="1"/>
  <c r="G37" i="20" s="1"/>
  <c r="AE32" i="15"/>
  <c r="AJ32" i="15" s="1"/>
  <c r="G43" i="20" s="1"/>
  <c r="AE12" i="15"/>
  <c r="AJ12" i="15" s="1"/>
  <c r="G23" i="20" s="1"/>
  <c r="AE36" i="15"/>
  <c r="AJ36" i="15" s="1"/>
  <c r="G47" i="20" s="1"/>
  <c r="AE29" i="15"/>
  <c r="AJ29" i="15" s="1"/>
  <c r="G40" i="20" s="1"/>
  <c r="AE22" i="15"/>
  <c r="AJ22" i="15" s="1"/>
  <c r="G33" i="20" s="1"/>
  <c r="AE33" i="15"/>
  <c r="AJ33" i="15" s="1"/>
  <c r="G44" i="20" s="1"/>
  <c r="AE35" i="15"/>
  <c r="AJ35" i="15" s="1"/>
  <c r="G46" i="20" s="1"/>
  <c r="AE28" i="15"/>
  <c r="AJ28" i="15" s="1"/>
  <c r="G39" i="20" s="1"/>
  <c r="AE18" i="15"/>
  <c r="AJ18" i="15" s="1"/>
  <c r="G29" i="20" s="1"/>
  <c r="AE46" i="15"/>
  <c r="AJ46" i="15" s="1"/>
  <c r="AE39" i="15"/>
  <c r="AJ39" i="15" s="1"/>
  <c r="G50" i="20" s="1"/>
  <c r="AE15" i="15"/>
  <c r="AJ15" i="15" s="1"/>
  <c r="G26" i="20" s="1"/>
  <c r="B20" i="2"/>
  <c r="F20" i="2" s="1"/>
  <c r="C19" i="2"/>
  <c r="H28" i="20" l="1"/>
  <c r="P28" i="20" s="1"/>
  <c r="H45" i="20"/>
  <c r="P45" i="20" s="1"/>
  <c r="H53" i="20"/>
  <c r="P53" i="20" s="1"/>
  <c r="H52" i="20"/>
  <c r="P52" i="20" s="1"/>
  <c r="H32" i="20"/>
  <c r="P32" i="20" s="1"/>
  <c r="H54" i="20"/>
  <c r="P54" i="20" s="1"/>
  <c r="H29" i="20"/>
  <c r="P29" i="20" s="1"/>
  <c r="H26" i="20"/>
  <c r="P26" i="20" s="1"/>
  <c r="H36" i="20"/>
  <c r="P36" i="20" s="1"/>
  <c r="H24" i="20"/>
  <c r="P24" i="20" s="1"/>
  <c r="H33" i="20"/>
  <c r="P33" i="20" s="1"/>
  <c r="H43" i="20"/>
  <c r="P43" i="20" s="1"/>
  <c r="H50" i="20"/>
  <c r="P50" i="20" s="1"/>
  <c r="H46" i="20"/>
  <c r="P46" i="20" s="1"/>
  <c r="H44" i="20"/>
  <c r="P44" i="20" s="1"/>
  <c r="H51" i="20"/>
  <c r="P51" i="20" s="1"/>
  <c r="H41" i="20"/>
  <c r="P41" i="20" s="1"/>
  <c r="H47" i="20"/>
  <c r="P47" i="20" s="1"/>
  <c r="H48" i="20"/>
  <c r="P48" i="20" s="1"/>
  <c r="H49" i="20"/>
  <c r="P49" i="20" s="1"/>
  <c r="H42" i="20"/>
  <c r="P42" i="20" s="1"/>
  <c r="H55" i="20"/>
  <c r="P55" i="20" s="1"/>
  <c r="C20" i="17"/>
  <c r="F20" i="17" s="1"/>
  <c r="D19" i="12"/>
  <c r="C24" i="17"/>
  <c r="F24" i="17" s="1"/>
  <c r="D23" i="12"/>
  <c r="H30" i="20"/>
  <c r="P30" i="20" s="1"/>
  <c r="D20" i="12"/>
  <c r="C21" i="17"/>
  <c r="F21" i="17" s="1"/>
  <c r="D16" i="12"/>
  <c r="C17" i="17"/>
  <c r="F17" i="17" s="1"/>
  <c r="D30" i="12"/>
  <c r="H40" i="20"/>
  <c r="P40" i="20" s="1"/>
  <c r="H37" i="20"/>
  <c r="P37" i="20" s="1"/>
  <c r="D27" i="12"/>
  <c r="C28" i="17"/>
  <c r="F28" i="17" s="1"/>
  <c r="C19" i="17"/>
  <c r="F19" i="17" s="1"/>
  <c r="D18" i="12"/>
  <c r="H38" i="20"/>
  <c r="P38" i="20" s="1"/>
  <c r="C29" i="17"/>
  <c r="F29" i="17" s="1"/>
  <c r="D28" i="12"/>
  <c r="H25" i="20"/>
  <c r="P25" i="20" s="1"/>
  <c r="D15" i="12"/>
  <c r="C16" i="17"/>
  <c r="F16" i="17" s="1"/>
  <c r="H34" i="20"/>
  <c r="P34" i="20" s="1"/>
  <c r="C25" i="17"/>
  <c r="F25" i="17" s="1"/>
  <c r="D24" i="12"/>
  <c r="D26" i="12"/>
  <c r="C27" i="17"/>
  <c r="F27" i="17" s="1"/>
  <c r="D22" i="12"/>
  <c r="C23" i="17"/>
  <c r="F23" i="17" s="1"/>
  <c r="D14" i="12"/>
  <c r="C15" i="17"/>
  <c r="F15" i="17" s="1"/>
  <c r="H31" i="20"/>
  <c r="P31" i="20" s="1"/>
  <c r="D21" i="12"/>
  <c r="C22" i="17"/>
  <c r="F22" i="17" s="1"/>
  <c r="H39" i="20"/>
  <c r="P39" i="20" s="1"/>
  <c r="C30" i="17"/>
  <c r="F30" i="17" s="1"/>
  <c r="D29" i="12"/>
  <c r="H27" i="20"/>
  <c r="P27" i="20" s="1"/>
  <c r="D17" i="12"/>
  <c r="C18" i="17"/>
  <c r="F18" i="17" s="1"/>
  <c r="H35" i="20"/>
  <c r="P35" i="20" s="1"/>
  <c r="D25" i="12"/>
  <c r="C26" i="17"/>
  <c r="F26" i="17" s="1"/>
  <c r="H23" i="20"/>
  <c r="P23" i="20" s="1"/>
  <c r="D13" i="12"/>
  <c r="C14" i="17"/>
  <c r="F14" i="17" s="1"/>
  <c r="B21" i="2"/>
  <c r="F21" i="2" s="1"/>
  <c r="C20" i="2"/>
  <c r="G18" i="12" l="1"/>
  <c r="E29" i="16" s="1"/>
  <c r="C29" i="16"/>
  <c r="G27" i="12"/>
  <c r="E38" i="16" s="1"/>
  <c r="C38" i="16"/>
  <c r="G20" i="12"/>
  <c r="E31" i="16" s="1"/>
  <c r="C31" i="16"/>
  <c r="G28" i="12"/>
  <c r="E39" i="16" s="1"/>
  <c r="C39" i="16"/>
  <c r="C27" i="16"/>
  <c r="G16" i="12"/>
  <c r="E27" i="16" s="1"/>
  <c r="G19" i="12"/>
  <c r="E30" i="16" s="1"/>
  <c r="C30" i="16"/>
  <c r="C33" i="16"/>
  <c r="G22" i="12"/>
  <c r="E33" i="16" s="1"/>
  <c r="C34" i="16"/>
  <c r="G23" i="12"/>
  <c r="E34" i="16" s="1"/>
  <c r="C37" i="16"/>
  <c r="G26" i="12"/>
  <c r="E37" i="16" s="1"/>
  <c r="G14" i="12"/>
  <c r="E25" i="16" s="1"/>
  <c r="C25" i="16"/>
  <c r="G24" i="12"/>
  <c r="E35" i="16" s="1"/>
  <c r="C35" i="16"/>
  <c r="G15" i="12"/>
  <c r="E26" i="16" s="1"/>
  <c r="C26" i="16"/>
  <c r="C41" i="16"/>
  <c r="G30" i="12"/>
  <c r="E41" i="16" s="1"/>
  <c r="G17" i="12"/>
  <c r="E28" i="16" s="1"/>
  <c r="C28" i="16"/>
  <c r="C36" i="16"/>
  <c r="G25" i="12"/>
  <c r="E36" i="16" s="1"/>
  <c r="G13" i="12"/>
  <c r="E24" i="16" s="1"/>
  <c r="C24" i="16"/>
  <c r="G29" i="12"/>
  <c r="E40" i="16" s="1"/>
  <c r="C40" i="16"/>
  <c r="C32" i="16"/>
  <c r="G21" i="12"/>
  <c r="E32" i="16" s="1"/>
  <c r="B22" i="2"/>
  <c r="F22" i="2" s="1"/>
  <c r="C21" i="2"/>
  <c r="B23" i="2" l="1"/>
  <c r="F23" i="2" s="1"/>
  <c r="C22" i="2"/>
  <c r="B24" i="2" l="1"/>
  <c r="C23" i="2"/>
  <c r="F24" i="2" l="1"/>
  <c r="B25" i="2"/>
  <c r="C24" i="2"/>
  <c r="C25" i="2" l="1"/>
  <c r="B26" i="2"/>
  <c r="F25" i="2"/>
  <c r="C26" i="2" l="1"/>
  <c r="F26" i="2"/>
  <c r="B27" i="2"/>
  <c r="F27" i="2" l="1"/>
  <c r="C27" i="2"/>
  <c r="B28" i="2"/>
  <c r="C28" i="2" l="1"/>
  <c r="F28" i="2"/>
  <c r="B29" i="2"/>
  <c r="C29" i="2" l="1"/>
  <c r="B30" i="2"/>
  <c r="F29" i="2"/>
  <c r="F30" i="2" l="1"/>
  <c r="C30" i="2"/>
  <c r="I19" i="2" l="1"/>
  <c r="I26" i="2"/>
  <c r="I20" i="2"/>
  <c r="I15" i="2"/>
  <c r="I16" i="2"/>
  <c r="I30" i="2"/>
  <c r="B24" i="9" s="1"/>
  <c r="I18" i="2"/>
  <c r="I27" i="2"/>
  <c r="I23" i="2"/>
  <c r="I14" i="2"/>
  <c r="I25" i="2"/>
  <c r="I24" i="2"/>
  <c r="I17" i="2"/>
  <c r="I28" i="2"/>
  <c r="I13" i="2"/>
  <c r="I29" i="2"/>
  <c r="I22" i="2"/>
  <c r="I21" i="2"/>
  <c r="H24" i="9"/>
  <c r="D24" i="9" l="1"/>
  <c r="E24" i="9"/>
  <c r="G24" i="9"/>
  <c r="F24" i="9"/>
  <c r="C24" i="9"/>
  <c r="H11" i="9"/>
  <c r="H25" i="10" s="1"/>
  <c r="G11" i="9"/>
  <c r="G25" i="10" s="1"/>
  <c r="F11" i="9"/>
  <c r="F25" i="10" s="1"/>
  <c r="D11" i="9"/>
  <c r="D25" i="10" s="1"/>
  <c r="B11" i="9"/>
  <c r="E11" i="9"/>
  <c r="E25" i="10" s="1"/>
  <c r="C11" i="9"/>
  <c r="C25" i="10" s="1"/>
  <c r="E23" i="9"/>
  <c r="E37" i="10" s="1"/>
  <c r="B23" i="9"/>
  <c r="G23" i="9"/>
  <c r="G37" i="10" s="1"/>
  <c r="D23" i="9"/>
  <c r="D37" i="10" s="1"/>
  <c r="H23" i="9"/>
  <c r="H37" i="10" s="1"/>
  <c r="F23" i="9"/>
  <c r="F37" i="10" s="1"/>
  <c r="C23" i="9"/>
  <c r="C37" i="10" s="1"/>
  <c r="C18" i="9"/>
  <c r="C32" i="10" s="1"/>
  <c r="H18" i="9"/>
  <c r="H32" i="10" s="1"/>
  <c r="E18" i="9"/>
  <c r="E32" i="10" s="1"/>
  <c r="B18" i="9"/>
  <c r="F18" i="9"/>
  <c r="F32" i="10" s="1"/>
  <c r="G18" i="9"/>
  <c r="G32" i="10" s="1"/>
  <c r="D18" i="9"/>
  <c r="D32" i="10" s="1"/>
  <c r="E21" i="9"/>
  <c r="E35" i="10" s="1"/>
  <c r="D21" i="9"/>
  <c r="D35" i="10" s="1"/>
  <c r="F21" i="9"/>
  <c r="F35" i="10" s="1"/>
  <c r="H21" i="9"/>
  <c r="H35" i="10" s="1"/>
  <c r="G21" i="9"/>
  <c r="G35" i="10" s="1"/>
  <c r="C21" i="9"/>
  <c r="C35" i="10" s="1"/>
  <c r="B21" i="9"/>
  <c r="F9" i="9"/>
  <c r="F23" i="10" s="1"/>
  <c r="H9" i="9"/>
  <c r="H23" i="10" s="1"/>
  <c r="D9" i="9"/>
  <c r="D23" i="10" s="1"/>
  <c r="E9" i="9"/>
  <c r="E23" i="10" s="1"/>
  <c r="C9" i="9"/>
  <c r="C23" i="10" s="1"/>
  <c r="G9" i="9"/>
  <c r="G23" i="10" s="1"/>
  <c r="B9" i="9"/>
  <c r="B19" i="9"/>
  <c r="E19" i="9"/>
  <c r="E33" i="10" s="1"/>
  <c r="H19" i="9"/>
  <c r="H33" i="10" s="1"/>
  <c r="C19" i="9"/>
  <c r="C33" i="10" s="1"/>
  <c r="G19" i="9"/>
  <c r="G33" i="10" s="1"/>
  <c r="D19" i="9"/>
  <c r="D33" i="10" s="1"/>
  <c r="F19" i="9"/>
  <c r="F33" i="10" s="1"/>
  <c r="H12" i="9"/>
  <c r="H26" i="10" s="1"/>
  <c r="C12" i="9"/>
  <c r="C26" i="10" s="1"/>
  <c r="E12" i="9"/>
  <c r="E26" i="10" s="1"/>
  <c r="G12" i="9"/>
  <c r="G26" i="10" s="1"/>
  <c r="B12" i="9"/>
  <c r="D12" i="9"/>
  <c r="D26" i="10" s="1"/>
  <c r="F12" i="9"/>
  <c r="F26" i="10" s="1"/>
  <c r="G14" i="9"/>
  <c r="G28" i="10" s="1"/>
  <c r="E14" i="9"/>
  <c r="E28" i="10" s="1"/>
  <c r="B14" i="9"/>
  <c r="F14" i="9"/>
  <c r="F28" i="10" s="1"/>
  <c r="D14" i="9"/>
  <c r="D28" i="10" s="1"/>
  <c r="C14" i="9"/>
  <c r="C28" i="10" s="1"/>
  <c r="H14" i="9"/>
  <c r="H28" i="10" s="1"/>
  <c r="H7" i="9"/>
  <c r="D7" i="9"/>
  <c r="F7" i="9"/>
  <c r="C7" i="9"/>
  <c r="E7" i="9"/>
  <c r="G7" i="9"/>
  <c r="B15" i="9"/>
  <c r="D15" i="9"/>
  <c r="D29" i="10" s="1"/>
  <c r="C15" i="9"/>
  <c r="C29" i="10" s="1"/>
  <c r="F15" i="9"/>
  <c r="F29" i="10" s="1"/>
  <c r="G15" i="9"/>
  <c r="G29" i="10" s="1"/>
  <c r="E15" i="9"/>
  <c r="E29" i="10" s="1"/>
  <c r="H15" i="9"/>
  <c r="H29" i="10" s="1"/>
  <c r="C22" i="9"/>
  <c r="C36" i="10" s="1"/>
  <c r="H22" i="9"/>
  <c r="H36" i="10" s="1"/>
  <c r="D22" i="9"/>
  <c r="D36" i="10" s="1"/>
  <c r="G22" i="9"/>
  <c r="G36" i="10" s="1"/>
  <c r="F22" i="9"/>
  <c r="F36" i="10" s="1"/>
  <c r="B22" i="9"/>
  <c r="E22" i="9"/>
  <c r="E36" i="10" s="1"/>
  <c r="G8" i="9"/>
  <c r="G22" i="10" s="1"/>
  <c r="E8" i="9"/>
  <c r="E22" i="10" s="1"/>
  <c r="F8" i="9"/>
  <c r="F22" i="10" s="1"/>
  <c r="D8" i="9"/>
  <c r="D22" i="10" s="1"/>
  <c r="B8" i="9"/>
  <c r="H8" i="9"/>
  <c r="H22" i="10" s="1"/>
  <c r="C8" i="9"/>
  <c r="C22" i="10" s="1"/>
  <c r="C20" i="9"/>
  <c r="C34" i="10" s="1"/>
  <c r="H20" i="9"/>
  <c r="H34" i="10" s="1"/>
  <c r="G20" i="9"/>
  <c r="G34" i="10" s="1"/>
  <c r="E20" i="9"/>
  <c r="E34" i="10" s="1"/>
  <c r="D20" i="9"/>
  <c r="D34" i="10" s="1"/>
  <c r="F20" i="9"/>
  <c r="F34" i="10" s="1"/>
  <c r="B20" i="9"/>
  <c r="H16" i="9"/>
  <c r="H30" i="10" s="1"/>
  <c r="G16" i="9"/>
  <c r="G30" i="10" s="1"/>
  <c r="B16" i="9"/>
  <c r="D16" i="9"/>
  <c r="D30" i="10" s="1"/>
  <c r="F16" i="9"/>
  <c r="F30" i="10" s="1"/>
  <c r="C16" i="9"/>
  <c r="C30" i="10" s="1"/>
  <c r="E16" i="9"/>
  <c r="E30" i="10" s="1"/>
  <c r="E17" i="9"/>
  <c r="E31" i="10" s="1"/>
  <c r="C17" i="9"/>
  <c r="C31" i="10" s="1"/>
  <c r="D17" i="9"/>
  <c r="D31" i="10" s="1"/>
  <c r="G17" i="9"/>
  <c r="G31" i="10" s="1"/>
  <c r="F17" i="9"/>
  <c r="F31" i="10" s="1"/>
  <c r="B17" i="9"/>
  <c r="H17" i="9"/>
  <c r="H31" i="10" s="1"/>
  <c r="B10" i="9"/>
  <c r="E10" i="9"/>
  <c r="E24" i="10" s="1"/>
  <c r="C10" i="9"/>
  <c r="C24" i="10" s="1"/>
  <c r="F10" i="9"/>
  <c r="F24" i="10" s="1"/>
  <c r="D10" i="9"/>
  <c r="D24" i="10" s="1"/>
  <c r="H10" i="9"/>
  <c r="H24" i="10" s="1"/>
  <c r="G10" i="9"/>
  <c r="G24" i="10" s="1"/>
  <c r="F13" i="9"/>
  <c r="F27" i="10" s="1"/>
  <c r="B13" i="9"/>
  <c r="H13" i="9"/>
  <c r="H27" i="10" s="1"/>
  <c r="G13" i="9"/>
  <c r="G27" i="10" s="1"/>
  <c r="E13" i="9"/>
  <c r="E27" i="10" s="1"/>
  <c r="C13" i="9"/>
  <c r="C27" i="10" s="1"/>
  <c r="D13" i="9"/>
  <c r="D27" i="10" s="1"/>
  <c r="G41" i="16"/>
  <c r="I41" i="16" s="1"/>
  <c r="C38" i="10"/>
  <c r="C26" i="9"/>
  <c r="J24" i="9"/>
  <c r="M24" i="9"/>
  <c r="I24" i="9"/>
  <c r="O24" i="9"/>
  <c r="N24" i="9"/>
  <c r="L24" i="9"/>
  <c r="K24" i="9"/>
  <c r="B38" i="10"/>
  <c r="B26" i="9"/>
  <c r="E38" i="10"/>
  <c r="E26" i="9"/>
  <c r="D38" i="10"/>
  <c r="D26" i="9"/>
  <c r="H38" i="10"/>
  <c r="H26" i="9"/>
  <c r="G38" i="10"/>
  <c r="G26" i="9"/>
  <c r="F38" i="10"/>
  <c r="F26" i="9"/>
  <c r="G34" i="16" l="1"/>
  <c r="I34" i="16" s="1"/>
  <c r="I17" i="9"/>
  <c r="I31" i="10" s="1"/>
  <c r="L17" i="9"/>
  <c r="L31" i="10" s="1"/>
  <c r="M17" i="9"/>
  <c r="M31" i="10" s="1"/>
  <c r="B31" i="10"/>
  <c r="N17" i="9"/>
  <c r="N31" i="10" s="1"/>
  <c r="O17" i="9"/>
  <c r="O31" i="10" s="1"/>
  <c r="K17" i="9"/>
  <c r="K31" i="10" s="1"/>
  <c r="J17" i="9"/>
  <c r="J31" i="10" s="1"/>
  <c r="O22" i="9"/>
  <c r="O36" i="10" s="1"/>
  <c r="L22" i="9"/>
  <c r="L36" i="10" s="1"/>
  <c r="N22" i="9"/>
  <c r="N36" i="10" s="1"/>
  <c r="I22" i="9"/>
  <c r="I36" i="10" s="1"/>
  <c r="G39" i="16"/>
  <c r="I39" i="16" s="1"/>
  <c r="K22" i="9"/>
  <c r="K36" i="10" s="1"/>
  <c r="B36" i="10"/>
  <c r="M22" i="9"/>
  <c r="M36" i="10" s="1"/>
  <c r="J22" i="9"/>
  <c r="J36" i="10" s="1"/>
  <c r="K15" i="9"/>
  <c r="K29" i="10" s="1"/>
  <c r="B29" i="10"/>
  <c r="M15" i="9"/>
  <c r="M29" i="10" s="1"/>
  <c r="O15" i="9"/>
  <c r="O29" i="10" s="1"/>
  <c r="I15" i="9"/>
  <c r="I29" i="10" s="1"/>
  <c r="N15" i="9"/>
  <c r="N29" i="10" s="1"/>
  <c r="J15" i="9"/>
  <c r="J29" i="10" s="1"/>
  <c r="L15" i="9"/>
  <c r="L29" i="10" s="1"/>
  <c r="G32" i="16"/>
  <c r="I32" i="16" s="1"/>
  <c r="F21" i="10"/>
  <c r="F39" i="10" s="1"/>
  <c r="F25" i="9"/>
  <c r="M14" i="9"/>
  <c r="M28" i="10" s="1"/>
  <c r="O14" i="9"/>
  <c r="O28" i="10" s="1"/>
  <c r="L14" i="9"/>
  <c r="L28" i="10" s="1"/>
  <c r="B28" i="10"/>
  <c r="J14" i="9"/>
  <c r="J28" i="10" s="1"/>
  <c r="N14" i="9"/>
  <c r="N28" i="10" s="1"/>
  <c r="K14" i="9"/>
  <c r="K28" i="10" s="1"/>
  <c r="I14" i="9"/>
  <c r="I28" i="10" s="1"/>
  <c r="G31" i="16"/>
  <c r="I31" i="16" s="1"/>
  <c r="N19" i="9"/>
  <c r="N33" i="10" s="1"/>
  <c r="K19" i="9"/>
  <c r="K33" i="10" s="1"/>
  <c r="M19" i="9"/>
  <c r="M33" i="10" s="1"/>
  <c r="I19" i="9"/>
  <c r="I33" i="10" s="1"/>
  <c r="J19" i="9"/>
  <c r="J33" i="10" s="1"/>
  <c r="O19" i="9"/>
  <c r="O33" i="10" s="1"/>
  <c r="L19" i="9"/>
  <c r="L33" i="10" s="1"/>
  <c r="B33" i="10"/>
  <c r="G36" i="16"/>
  <c r="I36" i="16" s="1"/>
  <c r="G38" i="16"/>
  <c r="I38" i="16" s="1"/>
  <c r="K21" i="9"/>
  <c r="K35" i="10" s="1"/>
  <c r="I21" i="9"/>
  <c r="I35" i="10" s="1"/>
  <c r="N21" i="9"/>
  <c r="N35" i="10" s="1"/>
  <c r="O21" i="9"/>
  <c r="O35" i="10" s="1"/>
  <c r="M21" i="9"/>
  <c r="M35" i="10" s="1"/>
  <c r="L21" i="9"/>
  <c r="L35" i="10" s="1"/>
  <c r="B35" i="10"/>
  <c r="J21" i="9"/>
  <c r="J35" i="10" s="1"/>
  <c r="K20" i="9"/>
  <c r="K34" i="10" s="1"/>
  <c r="N20" i="9"/>
  <c r="N34" i="10" s="1"/>
  <c r="J20" i="9"/>
  <c r="J34" i="10" s="1"/>
  <c r="I20" i="9"/>
  <c r="I34" i="10" s="1"/>
  <c r="O20" i="9"/>
  <c r="O34" i="10" s="1"/>
  <c r="L20" i="9"/>
  <c r="L34" i="10" s="1"/>
  <c r="M20" i="9"/>
  <c r="M34" i="10" s="1"/>
  <c r="B34" i="10"/>
  <c r="G37" i="16"/>
  <c r="I37" i="16" s="1"/>
  <c r="G21" i="10"/>
  <c r="G39" i="10" s="1"/>
  <c r="G25" i="9"/>
  <c r="D21" i="10"/>
  <c r="D39" i="10" s="1"/>
  <c r="D25" i="9"/>
  <c r="G29" i="16"/>
  <c r="I29" i="16" s="1"/>
  <c r="J12" i="9"/>
  <c r="J26" i="10" s="1"/>
  <c r="B26" i="10"/>
  <c r="L12" i="9"/>
  <c r="L26" i="10" s="1"/>
  <c r="N12" i="9"/>
  <c r="N26" i="10" s="1"/>
  <c r="M12" i="9"/>
  <c r="M26" i="10" s="1"/>
  <c r="O12" i="9"/>
  <c r="O26" i="10" s="1"/>
  <c r="K12" i="9"/>
  <c r="K26" i="10" s="1"/>
  <c r="I12" i="9"/>
  <c r="I26" i="10" s="1"/>
  <c r="G26" i="16"/>
  <c r="I26" i="16" s="1"/>
  <c r="L9" i="9"/>
  <c r="L23" i="10" s="1"/>
  <c r="N9" i="9"/>
  <c r="N23" i="10" s="1"/>
  <c r="I9" i="9"/>
  <c r="I23" i="10" s="1"/>
  <c r="M9" i="9"/>
  <c r="M23" i="10" s="1"/>
  <c r="O9" i="9"/>
  <c r="O23" i="10" s="1"/>
  <c r="B23" i="10"/>
  <c r="K9" i="9"/>
  <c r="K23" i="10" s="1"/>
  <c r="J9" i="9"/>
  <c r="J23" i="10" s="1"/>
  <c r="D40" i="10"/>
  <c r="G30" i="16"/>
  <c r="I30" i="16" s="1"/>
  <c r="M13" i="9"/>
  <c r="M27" i="10" s="1"/>
  <c r="K13" i="9"/>
  <c r="K27" i="10" s="1"/>
  <c r="O13" i="9"/>
  <c r="O27" i="10" s="1"/>
  <c r="N13" i="9"/>
  <c r="N27" i="10" s="1"/>
  <c r="B27" i="10"/>
  <c r="J13" i="9"/>
  <c r="J27" i="10" s="1"/>
  <c r="I13" i="9"/>
  <c r="I27" i="10" s="1"/>
  <c r="L13" i="9"/>
  <c r="L27" i="10" s="1"/>
  <c r="N10" i="9"/>
  <c r="N24" i="10" s="1"/>
  <c r="I10" i="9"/>
  <c r="I24" i="10" s="1"/>
  <c r="J10" i="9"/>
  <c r="J24" i="10" s="1"/>
  <c r="M10" i="9"/>
  <c r="M24" i="10" s="1"/>
  <c r="L10" i="9"/>
  <c r="L24" i="10" s="1"/>
  <c r="B24" i="10"/>
  <c r="K10" i="9"/>
  <c r="K24" i="10" s="1"/>
  <c r="G27" i="16"/>
  <c r="I27" i="16" s="1"/>
  <c r="O10" i="9"/>
  <c r="O24" i="10" s="1"/>
  <c r="G33" i="16"/>
  <c r="I33" i="16" s="1"/>
  <c r="K16" i="9"/>
  <c r="K30" i="10" s="1"/>
  <c r="M16" i="9"/>
  <c r="M30" i="10" s="1"/>
  <c r="N16" i="9"/>
  <c r="N30" i="10" s="1"/>
  <c r="O16" i="9"/>
  <c r="J16" i="9"/>
  <c r="L16" i="9"/>
  <c r="L30" i="10" s="1"/>
  <c r="I16" i="9"/>
  <c r="I30" i="10" s="1"/>
  <c r="B30" i="10"/>
  <c r="N8" i="9"/>
  <c r="N22" i="10" s="1"/>
  <c r="B22" i="10"/>
  <c r="J8" i="9"/>
  <c r="J22" i="10" s="1"/>
  <c r="L8" i="9"/>
  <c r="L22" i="10" s="1"/>
  <c r="G25" i="16"/>
  <c r="I25" i="16" s="1"/>
  <c r="I8" i="9"/>
  <c r="I22" i="10" s="1"/>
  <c r="K8" i="9"/>
  <c r="K22" i="10" s="1"/>
  <c r="O8" i="9"/>
  <c r="O22" i="10" s="1"/>
  <c r="M8" i="9"/>
  <c r="M22" i="10" s="1"/>
  <c r="E21" i="10"/>
  <c r="E39" i="10" s="1"/>
  <c r="E25" i="9"/>
  <c r="H21" i="10"/>
  <c r="H39" i="10" s="1"/>
  <c r="H25" i="9"/>
  <c r="G35" i="16"/>
  <c r="I35" i="16" s="1"/>
  <c r="J18" i="9"/>
  <c r="J32" i="10" s="1"/>
  <c r="I18" i="9"/>
  <c r="I32" i="10" s="1"/>
  <c r="O18" i="9"/>
  <c r="O32" i="10" s="1"/>
  <c r="N18" i="9"/>
  <c r="N32" i="10" s="1"/>
  <c r="L18" i="9"/>
  <c r="L32" i="10" s="1"/>
  <c r="K18" i="9"/>
  <c r="K32" i="10" s="1"/>
  <c r="B32" i="10"/>
  <c r="M18" i="9"/>
  <c r="M32" i="10" s="1"/>
  <c r="C21" i="10"/>
  <c r="C40" i="10" s="1"/>
  <c r="C25" i="9"/>
  <c r="G24" i="16"/>
  <c r="I24" i="16" s="1"/>
  <c r="O7" i="9"/>
  <c r="O21" i="10" s="1"/>
  <c r="I7" i="9"/>
  <c r="M7" i="9"/>
  <c r="L7" i="9"/>
  <c r="J7" i="9"/>
  <c r="J21" i="10" s="1"/>
  <c r="K7" i="9"/>
  <c r="N7" i="9"/>
  <c r="B21" i="10"/>
  <c r="B25" i="9"/>
  <c r="L23" i="9"/>
  <c r="L37" i="10" s="1"/>
  <c r="B37" i="10"/>
  <c r="I23" i="9"/>
  <c r="I37" i="10" s="1"/>
  <c r="G40" i="16"/>
  <c r="I40" i="16" s="1"/>
  <c r="O23" i="9"/>
  <c r="O37" i="10" s="1"/>
  <c r="J23" i="9"/>
  <c r="J37" i="10" s="1"/>
  <c r="K23" i="9"/>
  <c r="K37" i="10" s="1"/>
  <c r="M23" i="9"/>
  <c r="M37" i="10" s="1"/>
  <c r="N23" i="9"/>
  <c r="N37" i="10" s="1"/>
  <c r="O11" i="9"/>
  <c r="O25" i="10" s="1"/>
  <c r="B25" i="10"/>
  <c r="L11" i="9"/>
  <c r="L25" i="10" s="1"/>
  <c r="I11" i="9"/>
  <c r="I25" i="10" s="1"/>
  <c r="N11" i="9"/>
  <c r="N25" i="10" s="1"/>
  <c r="G28" i="16"/>
  <c r="I28" i="16" s="1"/>
  <c r="K11" i="9"/>
  <c r="K25" i="10" s="1"/>
  <c r="J11" i="9"/>
  <c r="J25" i="10" s="1"/>
  <c r="M11" i="9"/>
  <c r="M25" i="10" s="1"/>
  <c r="N38" i="10"/>
  <c r="N26" i="9"/>
  <c r="O38" i="10"/>
  <c r="L38" i="10"/>
  <c r="M38" i="10"/>
  <c r="J38" i="10"/>
  <c r="K38" i="10"/>
  <c r="I38" i="10"/>
  <c r="B40" i="10" l="1"/>
  <c r="J26" i="9"/>
  <c r="G40" i="10"/>
  <c r="I26" i="9"/>
  <c r="K26" i="9"/>
  <c r="L26" i="9"/>
  <c r="M26" i="9"/>
  <c r="O26" i="9"/>
  <c r="N21" i="10"/>
  <c r="N39" i="10" s="1"/>
  <c r="N25" i="9"/>
  <c r="M21" i="10"/>
  <c r="M40" i="10" s="1"/>
  <c r="M25" i="9"/>
  <c r="K21" i="10"/>
  <c r="K39" i="10" s="1"/>
  <c r="K25" i="9"/>
  <c r="I21" i="10"/>
  <c r="I40" i="10" s="1"/>
  <c r="I25" i="9"/>
  <c r="J25" i="9"/>
  <c r="J30" i="10"/>
  <c r="J39" i="10" s="1"/>
  <c r="E40" i="10"/>
  <c r="C39" i="10"/>
  <c r="B39" i="10"/>
  <c r="O25" i="9"/>
  <c r="O30" i="10"/>
  <c r="O39" i="10" s="1"/>
  <c r="H40" i="10"/>
  <c r="L21" i="10"/>
  <c r="L40" i="10" s="1"/>
  <c r="L25" i="9"/>
  <c r="F40" i="10"/>
  <c r="I39" i="10" l="1"/>
  <c r="K40" i="10"/>
  <c r="M39" i="10"/>
  <c r="N40" i="10"/>
  <c r="L39" i="10"/>
  <c r="O40" i="10"/>
  <c r="J40" i="10"/>
</calcChain>
</file>

<file path=xl/sharedStrings.xml><?xml version="1.0" encoding="utf-8"?>
<sst xmlns="http://schemas.openxmlformats.org/spreadsheetml/2006/main" count="523" uniqueCount="207">
  <si>
    <t>Net Responsive for a Program starting in year N</t>
  </si>
  <si>
    <t>Year</t>
  </si>
  <si>
    <t>1 Year</t>
  </si>
  <si>
    <t>2 Year</t>
  </si>
  <si>
    <t>3 Year</t>
  </si>
  <si>
    <t>4 Year</t>
  </si>
  <si>
    <t>5+ Year</t>
  </si>
  <si>
    <t>N+5</t>
  </si>
  <si>
    <t>N+6</t>
  </si>
  <si>
    <t>N+7</t>
  </si>
  <si>
    <t>N+8</t>
  </si>
  <si>
    <t>N+9</t>
  </si>
  <si>
    <t>N+10</t>
  </si>
  <si>
    <t>N+11</t>
  </si>
  <si>
    <t>N+12</t>
  </si>
  <si>
    <t>N+13</t>
  </si>
  <si>
    <t>N+14</t>
  </si>
  <si>
    <t>N+15</t>
  </si>
  <si>
    <t>N+16</t>
  </si>
  <si>
    <t>N+17</t>
  </si>
  <si>
    <t>N+18</t>
  </si>
  <si>
    <t>Rel Year</t>
  </si>
  <si>
    <t>Cal Year</t>
  </si>
  <si>
    <t>User Selected Schedule</t>
  </si>
  <si>
    <t>Program Start Year</t>
  </si>
  <si>
    <t>Program Duration</t>
  </si>
  <si>
    <t>Share Cleared in FCM</t>
  </si>
  <si>
    <t>e.g. 2018</t>
  </si>
  <si>
    <t>0%-100%</t>
  </si>
  <si>
    <t>Gross Demand, MW</t>
  </si>
  <si>
    <t>ISO NE CA</t>
  </si>
  <si>
    <t>ME</t>
  </si>
  <si>
    <t>NH</t>
  </si>
  <si>
    <t>VT</t>
  </si>
  <si>
    <t>CT</t>
  </si>
  <si>
    <t>RI</t>
  </si>
  <si>
    <t>MA</t>
  </si>
  <si>
    <t>Unhedged Load to Gross Load Ratio</t>
  </si>
  <si>
    <t>Unhedged Demand, MW</t>
  </si>
  <si>
    <t>Responsive Share for Uncleared Capacity</t>
  </si>
  <si>
    <t>Year from N</t>
  </si>
  <si>
    <t>N</t>
  </si>
  <si>
    <t>N+1</t>
  </si>
  <si>
    <t>N+2</t>
  </si>
  <si>
    <t>N+3</t>
  </si>
  <si>
    <t>N+4</t>
  </si>
  <si>
    <t>Decay</t>
  </si>
  <si>
    <t>1- Decay</t>
  </si>
  <si>
    <t>Nominal</t>
  </si>
  <si>
    <t>Schedule, Adjusted for Duration</t>
  </si>
  <si>
    <t>Summer</t>
  </si>
  <si>
    <t>FCA</t>
  </si>
  <si>
    <t>Reserve Margin</t>
  </si>
  <si>
    <t>Clearing Price</t>
  </si>
  <si>
    <t>Demand slope</t>
  </si>
  <si>
    <t>Supply Slope</t>
  </si>
  <si>
    <t>Price Shift for Bid Capacity</t>
  </si>
  <si>
    <t>Price Shift for Unbid Capacity</t>
  </si>
  <si>
    <t>($/kW-m)</t>
  </si>
  <si>
    <t>($/kW-m/MW)</t>
  </si>
  <si>
    <t>a</t>
  </si>
  <si>
    <t>b</t>
  </si>
  <si>
    <t>c</t>
  </si>
  <si>
    <t>d = b×c ÷ (c–b)</t>
  </si>
  <si>
    <t>e = a x d</t>
  </si>
  <si>
    <t>Bid Into FCM ($/kW-Year)</t>
  </si>
  <si>
    <t>Zone-on-Zone ($/kW-Year)</t>
  </si>
  <si>
    <t>Zone-on-ROP ($/kW-Year)</t>
  </si>
  <si>
    <t>Not Bid Into FCM ($/kW-Year)</t>
  </si>
  <si>
    <t>Responsive Share for Cleared Capacity</t>
  </si>
  <si>
    <t>Levelized (2018-2027)</t>
  </si>
  <si>
    <t>Levelized (2018-2035)</t>
  </si>
  <si>
    <t>Blended Capacity DRIPE ($/kW-Year)</t>
  </si>
  <si>
    <t>Program Inputs</t>
  </si>
  <si>
    <t>Market Inputs</t>
  </si>
  <si>
    <t>Wholesale Risk Premium (WRP)</t>
  </si>
  <si>
    <t>Distribution Losses (DL)</t>
  </si>
  <si>
    <t>PTF losses (PTF)</t>
  </si>
  <si>
    <t>Wholesale risk premium represents the observed difference between wholesale costs and retail prices. 9 percent is the default value in AESC 2018.</t>
  </si>
  <si>
    <t>Electrical losses due to distribution system. 8 percent is ISO New England ISO default.</t>
  </si>
  <si>
    <t>PTF losses are the pooled transmission facilities losses (i.e., the transmission facilities controlled by the ISO). 1.6 percent is the default value in AESC 2018.</t>
  </si>
  <si>
    <t>1 or more years (Whole years only)</t>
  </si>
  <si>
    <t>Capacity DRIPE for User Selected Periods, Durations, and Bid Strategy</t>
  </si>
  <si>
    <t>V 1.0</t>
  </si>
  <si>
    <t>User Inputs</t>
  </si>
  <si>
    <t>Capacity DRIPE value for Uncleared Capacity</t>
  </si>
  <si>
    <t>Capacity DRIPE value for Capacity Cleared in FCM</t>
  </si>
  <si>
    <t>Responsive Share of Uncleared Capacity DRIPE, based on user inputed strategy</t>
  </si>
  <si>
    <t>User Inputs (From Top Sheet)</t>
  </si>
  <si>
    <t>Responsive Share of Cleared Capacity DRIPE, based on user inputed strategy</t>
  </si>
  <si>
    <t>Gross and Unhedged Capacity by State and Year</t>
  </si>
  <si>
    <t>Capacity DRIPE Price Shift for Cleared and Uncleared Resources</t>
  </si>
  <si>
    <t>Table XX from AESC 2018</t>
  </si>
  <si>
    <t>Cleared</t>
  </si>
  <si>
    <t>Zone</t>
  </si>
  <si>
    <t>Sensitivity</t>
  </si>
  <si>
    <t>All</t>
  </si>
  <si>
    <t>Main</t>
  </si>
  <si>
    <t>$/kW-Mo</t>
  </si>
  <si>
    <t>$/kW-Yr</t>
  </si>
  <si>
    <t>Price</t>
  </si>
  <si>
    <t>Capacity costs (User Interface, Other Costs)</t>
  </si>
  <si>
    <t>$/kW-Year (2018$)</t>
  </si>
  <si>
    <t>Uncleared</t>
  </si>
  <si>
    <t>Wholesale Avoided Capacity</t>
  </si>
  <si>
    <t>Year Start</t>
  </si>
  <si>
    <t>Total</t>
  </si>
  <si>
    <t>D=2</t>
  </si>
  <si>
    <t>D=3</t>
  </si>
  <si>
    <t>D=4</t>
  </si>
  <si>
    <t>D=5</t>
  </si>
  <si>
    <t>D=6</t>
  </si>
  <si>
    <t>D=7</t>
  </si>
  <si>
    <t>D=8</t>
  </si>
  <si>
    <t>N+19</t>
  </si>
  <si>
    <t>N+20</t>
  </si>
  <si>
    <t>N+21</t>
  </si>
  <si>
    <t>N+22</t>
  </si>
  <si>
    <t>N+23</t>
  </si>
  <si>
    <t>N+24</t>
  </si>
  <si>
    <t>N+25</t>
  </si>
  <si>
    <t>N+26</t>
  </si>
  <si>
    <t>N+27</t>
  </si>
  <si>
    <t>N+28</t>
  </si>
  <si>
    <t>N+29</t>
  </si>
  <si>
    <t>N+30</t>
  </si>
  <si>
    <t>Phase in Schedule</t>
  </si>
  <si>
    <t>Abs Year</t>
  </si>
  <si>
    <t>Rel year</t>
  </si>
  <si>
    <t>year</t>
  </si>
  <si>
    <t>Phase in Value</t>
  </si>
  <si>
    <t>Phase out Schedule</t>
  </si>
  <si>
    <t>Full Years</t>
  </si>
  <si>
    <t>Rel #</t>
  </si>
  <si>
    <t>Composite Schedule, for program starting in Year N, where Duration = D</t>
  </si>
  <si>
    <t>Combined Generalized medium term schedule</t>
  </si>
  <si>
    <t>User Selectable Schedule</t>
  </si>
  <si>
    <t>Table 1: Program Phase in and Phase Out for short duration programs (by program year and total)</t>
  </si>
  <si>
    <t>Table 2: Composite Schedule for Programs of 1-8 Years Duration</t>
  </si>
  <si>
    <t>Table 3: Generalized Schedule (for programs of 5 or more years, but shorter than in perpetuity)</t>
  </si>
  <si>
    <t>Schedule</t>
  </si>
  <si>
    <t>midterm</t>
  </si>
  <si>
    <t>D=1</t>
  </si>
  <si>
    <t>Summary of User Inputs</t>
  </si>
  <si>
    <t>Wholesale Capacity</t>
  </si>
  <si>
    <t>Retail Capacity</t>
  </si>
  <si>
    <t>Retail</t>
  </si>
  <si>
    <t>Wholesale</t>
  </si>
  <si>
    <t>Avoided Capacity</t>
  </si>
  <si>
    <t>Avoided Capacity ($/kW-Year)</t>
  </si>
  <si>
    <t>Capacity DRIPE ($/kW-Year, ISO Z-Z)</t>
  </si>
  <si>
    <t>Reliablity</t>
  </si>
  <si>
    <t>VOLL</t>
  </si>
  <si>
    <t>Reliability Values (2018 $/kW-year)</t>
  </si>
  <si>
    <t>Reliability Value of Cleared EE ($/kW-year per $VOLL)</t>
  </si>
  <si>
    <t>Reliability Value of Uncleared EE ($/kW-year per $VOLL)</t>
  </si>
  <si>
    <t>Wholesale Reliability</t>
  </si>
  <si>
    <t>Retail Reliability</t>
  </si>
  <si>
    <t>Summary Results</t>
  </si>
  <si>
    <t>Benefit of Avoided Capacity &amp; Capacity DRIPE for Cleared and Uncleared Capacity</t>
  </si>
  <si>
    <t>Wholesale Capacity Values</t>
  </si>
  <si>
    <t>$/kW-yr</t>
  </si>
  <si>
    <t>Units:</t>
  </si>
  <si>
    <t>%</t>
  </si>
  <si>
    <t>Uncleared 
(1+RM) * FCA Price</t>
  </si>
  <si>
    <t>All Periods [1]</t>
  </si>
  <si>
    <t>Cleared 
FCA Price [2]</t>
  </si>
  <si>
    <t>Year Relative to Program Start</t>
  </si>
  <si>
    <t>N+31</t>
  </si>
  <si>
    <t>N+32</t>
  </si>
  <si>
    <t>N+33</t>
  </si>
  <si>
    <t>N+34</t>
  </si>
  <si>
    <t>N+35</t>
  </si>
  <si>
    <t>LFE Schedule</t>
  </si>
  <si>
    <t>Uncleared Capacity Price, Accounting for Phase-in / Phase-out</t>
  </si>
  <si>
    <t>ISO</t>
  </si>
  <si>
    <t>Wholesale Capacity DRIPE</t>
  </si>
  <si>
    <t>Gross Uncleared Capacity DRIPE (Intrastate)</t>
  </si>
  <si>
    <t>Gross Uncleared Capacity DRIPE (Interstate)</t>
  </si>
  <si>
    <t>Net Uncleared Capacity DRIPE (Intrastate)</t>
  </si>
  <si>
    <t>Net Uncleared Capacity DRIPE (Interstate)</t>
  </si>
  <si>
    <t>( A )</t>
  </si>
  <si>
    <t>( B )</t>
  </si>
  <si>
    <t>( C ) = ( A ) x ( B )</t>
  </si>
  <si>
    <t>( D )</t>
  </si>
  <si>
    <t>( E )</t>
  </si>
  <si>
    <t>( F )</t>
  </si>
  <si>
    <t>( G ) = ( D ) x ( F )</t>
  </si>
  <si>
    <t>( H ) = ( E ) x ( F )</t>
  </si>
  <si>
    <t>PTF losses</t>
  </si>
  <si>
    <t>Program Duration in Years</t>
  </si>
  <si>
    <t>( I ) = (C)x(1+WRP)x
(1+ DL)x(1+PTF)</t>
  </si>
  <si>
    <t>( J ) = (G)x(1+WRP)x
(1+ DL)x(1+PTF)</t>
  </si>
  <si>
    <t>( K ) = (H)x(1+WRP)x
(1+ DL)x(1+PTF)</t>
  </si>
  <si>
    <t>Retail Avoided Capacity for Uncleared Resources &amp; 
Capacity DRIPE for Uncleared Resources</t>
  </si>
  <si>
    <t>Benefits of Short-Duration Uncleared Capacity Programs</t>
  </si>
  <si>
    <t>Wholesale Avoided Capacity Load Forecast Effect Schedule (LFE Schedules)</t>
  </si>
  <si>
    <t>Gross Value of Uncleared Capacity DRIPE (before phase-in, phase-out, or decay)</t>
  </si>
  <si>
    <t>Cleared and Uncleared Capacity Price Forecast</t>
  </si>
  <si>
    <t>From AESC 2018 Appendix B and AESC Table 64</t>
  </si>
  <si>
    <t>Benefit of Avoided Uncleared Capacity &amp; Uncleared Capacity DRIPE</t>
  </si>
  <si>
    <t>Gross Uncleared Capacity Price</t>
  </si>
  <si>
    <t>Additional Inputs for Retail Scaling</t>
  </si>
  <si>
    <t>AESC 2018 Table 145</t>
  </si>
  <si>
    <t>AESC Table 142</t>
  </si>
  <si>
    <t>AESC Addendum Table 146</t>
  </si>
  <si>
    <t>Load Zone (State Abbreviation)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</si>
</sst>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00"/>
    <numFmt numFmtId="166" formatCode="0.0000"/>
    <numFmt numFmtId="167" formatCode="0.0%"/>
    <numFmt numFmtId="168" formatCode="0.000%"/>
    <numFmt numFmtId="169" formatCode="&quot;$&quot;#,##0.00"/>
    <numFmt numFmtId="170" formatCode="_(&quot;$&quot;* #,##0.0_);_(&quot;$&quot;* \(#,##0.0\);_(&quot;$&quot;* &quot;-&quot;??_);_(@_)"/>
    <numFmt numFmtId="171" formatCode="_(* #,##0.0_);_(* \(#,##0.0\);_(* &quot;-&quot;??_);_(@_)"/>
    <numFmt numFmtId="172" formatCode="0.0"/>
    <numFmt numFmtId="173" formatCode="&quot;$&quot;#,##0.000"/>
    <numFmt numFmtId="174" formatCode="&quot;$&quot;#,##0.00000"/>
    <numFmt numFmtId="175" formatCode="&quot;$&quot;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0"/>
      <color rgb="FFFFFFFF"/>
      <name val="Calibri"/>
      <family val="2"/>
    </font>
    <font>
      <sz val="10"/>
      <color rgb="FFFFFFFF"/>
      <name val="Calibri"/>
      <family val="2"/>
    </font>
    <font>
      <i/>
      <sz val="10"/>
      <color rgb="FFFFFFFF"/>
      <name val="Calibri"/>
      <family val="2"/>
    </font>
    <font>
      <sz val="10"/>
      <color theme="1"/>
      <name val="Calibri"/>
      <family val="2"/>
    </font>
    <font>
      <b/>
      <sz val="10"/>
      <color rgb="FF3F3F3F"/>
      <name val="Calibri"/>
      <family val="2"/>
    </font>
    <font>
      <sz val="12"/>
      <color theme="1"/>
      <name val="Calibri"/>
      <family val="2"/>
    </font>
    <font>
      <i/>
      <sz val="11"/>
      <color rgb="FFFA7D00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Arial"/>
      <family val="2"/>
    </font>
    <font>
      <i/>
      <sz val="11"/>
      <color rgb="FF7F7F7F"/>
      <name val="Calibri"/>
      <family val="2"/>
      <scheme val="minor"/>
    </font>
    <font>
      <b/>
      <sz val="1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FFFF"/>
      <name val="Calibri"/>
      <family val="2"/>
    </font>
    <font>
      <b/>
      <sz val="10"/>
      <name val="Arial"/>
      <family val="2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1F497D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1F497D"/>
      </bottom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A6A6A6"/>
      </left>
      <right style="thin">
        <color rgb="FFA6A6A6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2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2" borderId="0" applyNumberFormat="0" applyBorder="0" applyAlignment="0" applyProtection="0"/>
    <xf numFmtId="0" fontId="5" fillId="3" borderId="2" applyNumberFormat="0" applyAlignment="0" applyProtection="0"/>
    <xf numFmtId="0" fontId="6" fillId="4" borderId="3" applyNumberFormat="0" applyAlignment="0" applyProtection="0"/>
    <xf numFmtId="0" fontId="7" fillId="0" borderId="4" applyNumberFormat="0" applyFill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9" fillId="0" borderId="0"/>
    <xf numFmtId="43" fontId="29" fillId="0" borderId="0" applyFont="0" applyFill="0" applyBorder="0" applyAlignment="0" applyProtection="0"/>
    <xf numFmtId="0" fontId="26" fillId="0" borderId="0"/>
    <xf numFmtId="0" fontId="26" fillId="0" borderId="0"/>
    <xf numFmtId="0" fontId="1" fillId="20" borderId="0" applyNumberFormat="0" applyBorder="0" applyAlignment="0" applyProtection="0"/>
  </cellStyleXfs>
  <cellXfs count="290">
    <xf numFmtId="0" fontId="0" fillId="0" borderId="0" xfId="0"/>
    <xf numFmtId="0" fontId="9" fillId="0" borderId="0" xfId="0" applyFont="1" applyFill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9" fontId="9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9" fontId="0" fillId="0" borderId="0" xfId="2" applyFont="1"/>
    <xf numFmtId="0" fontId="8" fillId="0" borderId="0" xfId="0" applyFont="1"/>
    <xf numFmtId="0" fontId="11" fillId="0" borderId="0" xfId="0" applyFont="1"/>
    <xf numFmtId="0" fontId="8" fillId="11" borderId="6" xfId="9" applyFont="1" applyFill="1" applyBorder="1" applyAlignment="1">
      <alignment horizontal="center" vertical="top"/>
    </xf>
    <xf numFmtId="164" fontId="12" fillId="12" borderId="0" xfId="1" applyNumberFormat="1" applyFont="1" applyFill="1" applyBorder="1"/>
    <xf numFmtId="0" fontId="1" fillId="7" borderId="6" xfId="11" applyBorder="1" applyAlignment="1">
      <alignment horizontal="center" vertical="top"/>
    </xf>
    <xf numFmtId="9" fontId="1" fillId="7" borderId="0" xfId="11" applyNumberFormat="1" applyBorder="1" applyAlignment="1">
      <alignment horizontal="center" vertical="top"/>
    </xf>
    <xf numFmtId="9" fontId="1" fillId="7" borderId="0" xfId="11" applyNumberFormat="1" applyBorder="1" applyAlignment="1">
      <alignment horizontal="center"/>
    </xf>
    <xf numFmtId="9" fontId="1" fillId="7" borderId="0" xfId="11" applyNumberFormat="1" applyAlignment="1">
      <alignment horizontal="center"/>
    </xf>
    <xf numFmtId="0" fontId="4" fillId="2" borderId="6" xfId="5" applyBorder="1" applyAlignment="1">
      <alignment horizontal="center" vertical="top"/>
    </xf>
    <xf numFmtId="164" fontId="4" fillId="2" borderId="0" xfId="5" applyNumberFormat="1"/>
    <xf numFmtId="0" fontId="10" fillId="0" borderId="0" xfId="0" applyFont="1" applyFill="1" applyBorder="1" applyAlignment="1">
      <alignment horizontal="left"/>
    </xf>
    <xf numFmtId="9" fontId="6" fillId="4" borderId="3" xfId="7" applyNumberFormat="1" applyAlignment="1">
      <alignment horizontal="center"/>
    </xf>
    <xf numFmtId="0" fontId="10" fillId="0" borderId="0" xfId="0" applyFont="1" applyFill="1" applyBorder="1" applyAlignment="1"/>
    <xf numFmtId="9" fontId="0" fillId="0" borderId="0" xfId="2" applyFont="1" applyAlignment="1">
      <alignment horizontal="center"/>
    </xf>
    <xf numFmtId="0" fontId="13" fillId="13" borderId="0" xfId="0" applyFont="1" applyFill="1" applyAlignment="1">
      <alignment horizontal="center" vertical="center"/>
    </xf>
    <xf numFmtId="0" fontId="13" fillId="13" borderId="0" xfId="0" applyFont="1" applyFill="1" applyAlignment="1">
      <alignment horizontal="center" vertical="center" wrapText="1"/>
    </xf>
    <xf numFmtId="0" fontId="14" fillId="13" borderId="0" xfId="0" applyFont="1" applyFill="1" applyAlignment="1">
      <alignment horizontal="center" vertical="center"/>
    </xf>
    <xf numFmtId="0" fontId="14" fillId="13" borderId="0" xfId="0" applyFont="1" applyFill="1" applyAlignment="1">
      <alignment horizontal="center" vertical="center" wrapText="1"/>
    </xf>
    <xf numFmtId="0" fontId="15" fillId="13" borderId="0" xfId="0" applyFont="1" applyFill="1" applyAlignment="1">
      <alignment horizontal="center" vertical="center"/>
    </xf>
    <xf numFmtId="0" fontId="15" fillId="13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8" fontId="9" fillId="0" borderId="0" xfId="0" applyNumberFormat="1" applyFont="1" applyAlignment="1">
      <alignment horizontal="center" vertical="center"/>
    </xf>
    <xf numFmtId="0" fontId="9" fillId="14" borderId="0" xfId="0" applyFont="1" applyFill="1" applyAlignment="1">
      <alignment horizontal="center" vertical="center"/>
    </xf>
    <xf numFmtId="0" fontId="9" fillId="14" borderId="0" xfId="0" applyFont="1" applyFill="1" applyAlignment="1">
      <alignment horizontal="center" vertical="center" wrapText="1"/>
    </xf>
    <xf numFmtId="8" fontId="9" fillId="14" borderId="0" xfId="0" applyNumberFormat="1" applyFont="1" applyFill="1" applyAlignment="1">
      <alignment horizontal="center" vertical="center"/>
    </xf>
    <xf numFmtId="0" fontId="9" fillId="14" borderId="7" xfId="0" applyFont="1" applyFill="1" applyBorder="1" applyAlignment="1">
      <alignment horizontal="center" vertical="center"/>
    </xf>
    <xf numFmtId="0" fontId="9" fillId="14" borderId="7" xfId="0" applyFont="1" applyFill="1" applyBorder="1" applyAlignment="1">
      <alignment horizontal="center" vertical="center" wrapText="1"/>
    </xf>
    <xf numFmtId="8" fontId="9" fillId="14" borderId="7" xfId="0" applyNumberFormat="1" applyFont="1" applyFill="1" applyBorder="1" applyAlignment="1">
      <alignment horizontal="center" vertical="center"/>
    </xf>
    <xf numFmtId="165" fontId="9" fillId="0" borderId="0" xfId="0" applyNumberFormat="1" applyFont="1" applyAlignment="1">
      <alignment horizontal="center" vertical="center" wrapText="1"/>
    </xf>
    <xf numFmtId="0" fontId="16" fillId="0" borderId="0" xfId="0" applyFont="1"/>
    <xf numFmtId="9" fontId="17" fillId="4" borderId="3" xfId="7" applyNumberFormat="1" applyFont="1"/>
    <xf numFmtId="166" fontId="18" fillId="15" borderId="0" xfId="0" applyNumberFormat="1" applyFont="1" applyFill="1" applyBorder="1"/>
    <xf numFmtId="168" fontId="1" fillId="7" borderId="0" xfId="11" applyNumberFormat="1" applyBorder="1" applyAlignment="1">
      <alignment horizontal="center"/>
    </xf>
    <xf numFmtId="0" fontId="0" fillId="0" borderId="8" xfId="0" applyBorder="1"/>
    <xf numFmtId="0" fontId="8" fillId="0" borderId="5" xfId="0" applyFont="1" applyBorder="1"/>
    <xf numFmtId="0" fontId="1" fillId="5" borderId="5" xfId="9" applyBorder="1"/>
    <xf numFmtId="0" fontId="1" fillId="6" borderId="5" xfId="10" applyBorder="1"/>
    <xf numFmtId="0" fontId="1" fillId="7" borderId="5" xfId="11" applyBorder="1"/>
    <xf numFmtId="0" fontId="1" fillId="8" borderId="5" xfId="12" applyBorder="1"/>
    <xf numFmtId="43" fontId="1" fillId="7" borderId="0" xfId="1" applyFill="1"/>
    <xf numFmtId="43" fontId="1" fillId="8" borderId="0" xfId="1" applyFill="1"/>
    <xf numFmtId="43" fontId="1" fillId="5" borderId="0" xfId="1" applyFill="1"/>
    <xf numFmtId="43" fontId="1" fillId="6" borderId="0" xfId="1" applyFill="1"/>
    <xf numFmtId="0" fontId="7" fillId="0" borderId="4" xfId="8"/>
    <xf numFmtId="0" fontId="19" fillId="0" borderId="4" xfId="8" applyFont="1" applyAlignment="1">
      <alignment horizontal="center"/>
    </xf>
    <xf numFmtId="0" fontId="5" fillId="3" borderId="2" xfId="6" applyAlignment="1">
      <alignment horizontal="center"/>
    </xf>
    <xf numFmtId="9" fontId="5" fillId="3" borderId="2" xfId="6" applyNumberFormat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9" borderId="5" xfId="13" applyFont="1" applyBorder="1" applyAlignment="1">
      <alignment horizontal="center"/>
    </xf>
    <xf numFmtId="2" fontId="1" fillId="9" borderId="0" xfId="1" applyNumberFormat="1" applyFill="1" applyAlignment="1">
      <alignment horizontal="center"/>
    </xf>
    <xf numFmtId="2" fontId="1" fillId="10" borderId="0" xfId="1" applyNumberFormat="1" applyFill="1" applyAlignment="1">
      <alignment horizontal="center"/>
    </xf>
    <xf numFmtId="2" fontId="1" fillId="9" borderId="8" xfId="1" applyNumberFormat="1" applyFill="1" applyBorder="1" applyAlignment="1">
      <alignment horizontal="center"/>
    </xf>
    <xf numFmtId="2" fontId="1" fillId="10" borderId="8" xfId="1" applyNumberFormat="1" applyFill="1" applyBorder="1" applyAlignment="1">
      <alignment horizontal="center"/>
    </xf>
    <xf numFmtId="2" fontId="1" fillId="9" borderId="5" xfId="1" applyNumberFormat="1" applyFill="1" applyBorder="1" applyAlignment="1">
      <alignment horizontal="center"/>
    </xf>
    <xf numFmtId="2" fontId="1" fillId="10" borderId="5" xfId="1" applyNumberFormat="1" applyFill="1" applyBorder="1" applyAlignment="1">
      <alignment horizontal="center"/>
    </xf>
    <xf numFmtId="0" fontId="8" fillId="10" borderId="5" xfId="14" applyFont="1" applyBorder="1" applyAlignment="1">
      <alignment horizontal="center"/>
    </xf>
    <xf numFmtId="0" fontId="11" fillId="0" borderId="0" xfId="0" applyFont="1" applyAlignment="1">
      <alignment horizontal="left" indent="2"/>
    </xf>
    <xf numFmtId="0" fontId="20" fillId="0" borderId="0" xfId="0" applyFont="1" applyFill="1" applyBorder="1" applyAlignment="1" applyProtection="1">
      <alignment horizontal="left" indent="2"/>
    </xf>
    <xf numFmtId="167" fontId="5" fillId="3" borderId="2" xfId="6" applyNumberFormat="1" applyAlignment="1">
      <alignment horizontal="center"/>
    </xf>
    <xf numFmtId="167" fontId="5" fillId="3" borderId="0" xfId="6" applyNumberFormat="1" applyBorder="1" applyAlignment="1">
      <alignment horizontal="center"/>
    </xf>
    <xf numFmtId="0" fontId="21" fillId="0" borderId="0" xfId="0" applyFont="1"/>
    <xf numFmtId="43" fontId="1" fillId="7" borderId="8" xfId="1" applyFill="1" applyBorder="1"/>
    <xf numFmtId="43" fontId="1" fillId="8" borderId="8" xfId="1" applyFill="1" applyBorder="1"/>
    <xf numFmtId="43" fontId="1" fillId="7" borderId="5" xfId="1" applyFill="1" applyBorder="1"/>
    <xf numFmtId="43" fontId="1" fillId="8" borderId="5" xfId="1" applyFill="1" applyBorder="1"/>
    <xf numFmtId="43" fontId="1" fillId="5" borderId="8" xfId="1" applyFill="1" applyBorder="1"/>
    <xf numFmtId="43" fontId="1" fillId="6" borderId="8" xfId="1" applyFill="1" applyBorder="1"/>
    <xf numFmtId="43" fontId="1" fillId="5" borderId="5" xfId="1" applyFill="1" applyBorder="1"/>
    <xf numFmtId="43" fontId="1" fillId="6" borderId="5" xfId="1" applyFill="1" applyBorder="1"/>
    <xf numFmtId="0" fontId="3" fillId="0" borderId="1" xfId="4"/>
    <xf numFmtId="0" fontId="2" fillId="0" borderId="0" xfId="3"/>
    <xf numFmtId="9" fontId="3" fillId="0" borderId="1" xfId="4" applyNumberFormat="1" applyFill="1" applyAlignment="1" applyProtection="1">
      <alignment horizontal="left"/>
    </xf>
    <xf numFmtId="0" fontId="23" fillId="0" borderId="0" xfId="0" applyFont="1" applyAlignment="1">
      <alignment horizontal="left"/>
    </xf>
    <xf numFmtId="0" fontId="24" fillId="16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169" fontId="0" fillId="0" borderId="0" xfId="0" applyNumberFormat="1" applyAlignment="1">
      <alignment horizontal="center"/>
    </xf>
    <xf numFmtId="169" fontId="0" fillId="0" borderId="0" xfId="0" applyNumberFormat="1"/>
    <xf numFmtId="9" fontId="26" fillId="0" borderId="10" xfId="2" applyFont="1" applyFill="1" applyBorder="1" applyAlignment="1">
      <alignment horizontal="center"/>
    </xf>
    <xf numFmtId="9" fontId="26" fillId="0" borderId="9" xfId="2" applyFont="1" applyFill="1" applyBorder="1" applyAlignment="1">
      <alignment horizontal="center"/>
    </xf>
    <xf numFmtId="0" fontId="29" fillId="0" borderId="0" xfId="17"/>
    <xf numFmtId="0" fontId="30" fillId="0" borderId="0" xfId="17" applyFont="1"/>
    <xf numFmtId="0" fontId="30" fillId="0" borderId="0" xfId="17" applyFont="1" applyFill="1" applyAlignment="1">
      <alignment horizontal="center"/>
    </xf>
    <xf numFmtId="9" fontId="30" fillId="0" borderId="0" xfId="17" applyNumberFormat="1" applyFont="1" applyFill="1" applyAlignment="1">
      <alignment horizontal="center"/>
    </xf>
    <xf numFmtId="0" fontId="30" fillId="0" borderId="0" xfId="0" applyFont="1"/>
    <xf numFmtId="9" fontId="0" fillId="17" borderId="0" xfId="2" applyFont="1" applyFill="1"/>
    <xf numFmtId="9" fontId="0" fillId="18" borderId="0" xfId="2" applyFont="1" applyFill="1"/>
    <xf numFmtId="0" fontId="0" fillId="0" borderId="0" xfId="0" applyFont="1"/>
    <xf numFmtId="0" fontId="3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29" fillId="0" borderId="0" xfId="2" applyFont="1" applyBorder="1" applyAlignment="1"/>
    <xf numFmtId="9" fontId="29" fillId="0" borderId="11" xfId="2" applyFont="1" applyBorder="1" applyAlignment="1"/>
    <xf numFmtId="9" fontId="29" fillId="0" borderId="12" xfId="2" applyFont="1" applyBorder="1" applyAlignment="1"/>
    <xf numFmtId="9" fontId="29" fillId="0" borderId="14" xfId="2" applyFont="1" applyBorder="1" applyAlignment="1"/>
    <xf numFmtId="9" fontId="29" fillId="0" borderId="11" xfId="2" applyFont="1" applyBorder="1" applyAlignment="1">
      <alignment horizontal="center"/>
    </xf>
    <xf numFmtId="9" fontId="29" fillId="0" borderId="12" xfId="2" applyFont="1" applyBorder="1" applyAlignment="1">
      <alignment horizontal="center"/>
    </xf>
    <xf numFmtId="9" fontId="29" fillId="0" borderId="13" xfId="2" applyFont="1" applyBorder="1" applyAlignment="1">
      <alignment horizontal="center"/>
    </xf>
    <xf numFmtId="9" fontId="29" fillId="0" borderId="14" xfId="2" applyFont="1" applyBorder="1" applyAlignment="1">
      <alignment horizontal="center"/>
    </xf>
    <xf numFmtId="9" fontId="29" fillId="0" borderId="0" xfId="2" applyFont="1" applyBorder="1" applyAlignment="1">
      <alignment horizontal="center"/>
    </xf>
    <xf numFmtId="9" fontId="29" fillId="0" borderId="15" xfId="2" applyFont="1" applyBorder="1" applyAlignment="1">
      <alignment horizontal="center"/>
    </xf>
    <xf numFmtId="9" fontId="0" fillId="0" borderId="14" xfId="2" applyFont="1" applyBorder="1" applyAlignment="1">
      <alignment horizontal="center"/>
    </xf>
    <xf numFmtId="9" fontId="0" fillId="0" borderId="0" xfId="2" applyFont="1" applyBorder="1" applyAlignment="1">
      <alignment horizontal="center"/>
    </xf>
    <xf numFmtId="9" fontId="0" fillId="0" borderId="15" xfId="2" applyFont="1" applyBorder="1" applyAlignment="1">
      <alignment horizontal="center"/>
    </xf>
    <xf numFmtId="0" fontId="30" fillId="0" borderId="0" xfId="17" applyFont="1" applyBorder="1" applyAlignment="1">
      <alignment horizontal="center"/>
    </xf>
    <xf numFmtId="9" fontId="30" fillId="0" borderId="13" xfId="17" applyNumberFormat="1" applyFont="1" applyFill="1" applyBorder="1" applyAlignment="1">
      <alignment horizontal="center"/>
    </xf>
    <xf numFmtId="9" fontId="30" fillId="0" borderId="15" xfId="17" applyNumberFormat="1" applyFont="1" applyFill="1" applyBorder="1" applyAlignment="1">
      <alignment horizontal="center"/>
    </xf>
    <xf numFmtId="9" fontId="8" fillId="0" borderId="0" xfId="2" applyFont="1" applyFill="1" applyAlignment="1">
      <alignment horizontal="center"/>
    </xf>
    <xf numFmtId="0" fontId="30" fillId="0" borderId="18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0" fillId="0" borderId="18" xfId="0" applyBorder="1"/>
    <xf numFmtId="9" fontId="4" fillId="2" borderId="0" xfId="2" applyFont="1" applyFill="1" applyAlignment="1">
      <alignment horizontal="center"/>
    </xf>
    <xf numFmtId="0" fontId="7" fillId="0" borderId="4" xfId="8" applyFill="1" applyAlignment="1">
      <alignment horizontal="center"/>
    </xf>
    <xf numFmtId="0" fontId="22" fillId="0" borderId="0" xfId="16" applyFill="1" applyBorder="1" applyAlignment="1">
      <alignment horizontal="center"/>
    </xf>
    <xf numFmtId="0" fontId="8" fillId="0" borderId="0" xfId="0" applyFont="1" applyAlignment="1"/>
    <xf numFmtId="0" fontId="0" fillId="0" borderId="0" xfId="0" applyFont="1" applyAlignment="1"/>
    <xf numFmtId="170" fontId="0" fillId="0" borderId="0" xfId="15" applyNumberFormat="1" applyFont="1"/>
    <xf numFmtId="170" fontId="0" fillId="0" borderId="0" xfId="0" applyNumberFormat="1"/>
    <xf numFmtId="171" fontId="0" fillId="0" borderId="0" xfId="1" applyNumberFormat="1" applyFont="1"/>
    <xf numFmtId="172" fontId="0" fillId="0" borderId="0" xfId="1" applyNumberFormat="1" applyFont="1" applyAlignment="1">
      <alignment horizontal="center"/>
    </xf>
    <xf numFmtId="0" fontId="0" fillId="0" borderId="19" xfId="0" applyFont="1" applyBorder="1"/>
    <xf numFmtId="9" fontId="28" fillId="0" borderId="10" xfId="2" applyFont="1" applyFill="1" applyBorder="1" applyAlignment="1">
      <alignment horizontal="center"/>
    </xf>
    <xf numFmtId="0" fontId="27" fillId="0" borderId="20" xfId="0" applyFont="1" applyFill="1" applyBorder="1" applyAlignment="1">
      <alignment horizontal="center" wrapText="1"/>
    </xf>
    <xf numFmtId="0" fontId="0" fillId="0" borderId="19" xfId="0" applyFont="1" applyBorder="1" applyAlignment="1">
      <alignment horizontal="right"/>
    </xf>
    <xf numFmtId="0" fontId="31" fillId="0" borderId="0" xfId="0" applyFont="1" applyFill="1" applyBorder="1" applyAlignment="1" applyProtection="1">
      <alignment horizontal="left"/>
    </xf>
    <xf numFmtId="0" fontId="25" fillId="19" borderId="0" xfId="0" applyFont="1" applyFill="1" applyAlignment="1">
      <alignment horizontal="center" vertical="center" wrapText="1"/>
    </xf>
    <xf numFmtId="0" fontId="26" fillId="0" borderId="0" xfId="0" applyNumberFormat="1" applyFont="1" applyAlignment="1">
      <alignment horizontal="center"/>
    </xf>
    <xf numFmtId="173" fontId="0" fillId="0" borderId="0" xfId="0" applyNumberFormat="1" applyAlignment="1">
      <alignment horizontal="center"/>
    </xf>
    <xf numFmtId="174" fontId="0" fillId="0" borderId="0" xfId="0" applyNumberFormat="1" applyAlignment="1">
      <alignment horizontal="center"/>
    </xf>
    <xf numFmtId="44" fontId="5" fillId="3" borderId="0" xfId="15" applyFont="1" applyFill="1" applyBorder="1" applyAlignment="1">
      <alignment horizontal="center"/>
    </xf>
    <xf numFmtId="0" fontId="7" fillId="0" borderId="4" xfId="8" applyAlignment="1">
      <alignment horizontal="center"/>
    </xf>
    <xf numFmtId="17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3" fillId="0" borderId="30" xfId="19" applyFont="1" applyFill="1" applyBorder="1" applyAlignment="1" applyProtection="1">
      <alignment horizontal="center" vertical="center" wrapText="1"/>
    </xf>
    <xf numFmtId="0" fontId="33" fillId="0" borderId="25" xfId="19" applyFont="1" applyFill="1" applyBorder="1" applyAlignment="1" applyProtection="1">
      <alignment horizontal="center" vertical="center" wrapText="1"/>
    </xf>
    <xf numFmtId="0" fontId="33" fillId="0" borderId="27" xfId="19" applyFont="1" applyFill="1" applyBorder="1" applyAlignment="1" applyProtection="1">
      <alignment horizontal="center" vertical="center"/>
    </xf>
    <xf numFmtId="0" fontId="33" fillId="0" borderId="23" xfId="19" applyFont="1" applyFill="1" applyBorder="1" applyAlignment="1" applyProtection="1">
      <alignment horizontal="center" vertical="center"/>
    </xf>
    <xf numFmtId="0" fontId="33" fillId="0" borderId="29" xfId="19" applyFont="1" applyFill="1" applyBorder="1" applyAlignment="1" applyProtection="1">
      <alignment horizontal="center"/>
    </xf>
    <xf numFmtId="172" fontId="26" fillId="0" borderId="28" xfId="19" applyNumberFormat="1" applyFont="1" applyFill="1" applyBorder="1" applyAlignment="1" applyProtection="1">
      <alignment horizontal="center"/>
    </xf>
    <xf numFmtId="0" fontId="33" fillId="0" borderId="30" xfId="19" applyFont="1" applyFill="1" applyBorder="1" applyAlignment="1" applyProtection="1">
      <alignment horizontal="center"/>
    </xf>
    <xf numFmtId="172" fontId="26" fillId="0" borderId="26" xfId="19" applyNumberFormat="1" applyFont="1" applyFill="1" applyBorder="1" applyAlignment="1" applyProtection="1">
      <alignment horizontal="center"/>
    </xf>
    <xf numFmtId="0" fontId="33" fillId="0" borderId="32" xfId="19" applyFont="1" applyFill="1" applyBorder="1" applyAlignment="1" applyProtection="1">
      <alignment horizontal="center" vertical="center" wrapText="1"/>
    </xf>
    <xf numFmtId="0" fontId="33" fillId="0" borderId="33" xfId="19" applyFont="1" applyFill="1" applyBorder="1" applyAlignment="1" applyProtection="1">
      <alignment horizontal="center" vertical="center"/>
    </xf>
    <xf numFmtId="172" fontId="0" fillId="0" borderId="34" xfId="0" applyNumberFormat="1" applyBorder="1" applyAlignment="1">
      <alignment horizontal="center"/>
    </xf>
    <xf numFmtId="172" fontId="0" fillId="0" borderId="35" xfId="0" applyNumberFormat="1" applyBorder="1" applyAlignment="1">
      <alignment horizontal="center"/>
    </xf>
    <xf numFmtId="0" fontId="33" fillId="0" borderId="36" xfId="19" applyFont="1" applyFill="1" applyBorder="1" applyAlignment="1" applyProtection="1">
      <alignment horizontal="center" vertical="center"/>
    </xf>
    <xf numFmtId="0" fontId="34" fillId="0" borderId="12" xfId="0" applyFont="1" applyBorder="1" applyAlignment="1">
      <alignment vertical="center"/>
    </xf>
    <xf numFmtId="0" fontId="34" fillId="0" borderId="19" xfId="0" applyFont="1" applyBorder="1" applyAlignment="1">
      <alignment vertical="center"/>
    </xf>
    <xf numFmtId="0" fontId="34" fillId="0" borderId="19" xfId="0" applyFont="1" applyBorder="1" applyAlignment="1">
      <alignment horizontal="center" vertical="center"/>
    </xf>
    <xf numFmtId="0" fontId="35" fillId="0" borderId="0" xfId="0" applyFont="1" applyAlignment="1">
      <alignment horizontal="right" vertical="center"/>
    </xf>
    <xf numFmtId="0" fontId="35" fillId="0" borderId="0" xfId="0" applyFont="1" applyAlignment="1">
      <alignment horizontal="center" vertical="center"/>
    </xf>
    <xf numFmtId="0" fontId="35" fillId="0" borderId="17" xfId="0" applyFont="1" applyBorder="1" applyAlignment="1">
      <alignment horizontal="right" vertical="center"/>
    </xf>
    <xf numFmtId="0" fontId="35" fillId="0" borderId="17" xfId="0" applyFont="1" applyBorder="1" applyAlignment="1">
      <alignment horizontal="center" vertical="center"/>
    </xf>
    <xf numFmtId="0" fontId="3" fillId="22" borderId="0" xfId="4" applyFill="1" applyBorder="1"/>
    <xf numFmtId="0" fontId="0" fillId="22" borderId="0" xfId="0" applyFill="1"/>
    <xf numFmtId="0" fontId="0" fillId="22" borderId="0" xfId="0" applyFill="1" applyBorder="1"/>
    <xf numFmtId="0" fontId="33" fillId="22" borderId="0" xfId="0" applyFont="1" applyFill="1" applyBorder="1" applyProtection="1"/>
    <xf numFmtId="9" fontId="3" fillId="22" borderId="1" xfId="4" applyNumberFormat="1" applyFill="1" applyAlignment="1" applyProtection="1">
      <alignment horizontal="left"/>
    </xf>
    <xf numFmtId="0" fontId="3" fillId="22" borderId="1" xfId="4" applyFill="1"/>
    <xf numFmtId="0" fontId="2" fillId="22" borderId="0" xfId="3" applyFill="1"/>
    <xf numFmtId="0" fontId="33" fillId="22" borderId="30" xfId="19" applyFont="1" applyFill="1" applyBorder="1" applyAlignment="1" applyProtection="1">
      <alignment horizontal="center" vertical="center" wrapText="1"/>
    </xf>
    <xf numFmtId="0" fontId="26" fillId="22" borderId="16" xfId="19" applyFont="1" applyFill="1" applyBorder="1" applyAlignment="1" applyProtection="1">
      <alignment horizontal="center" vertical="center" wrapText="1"/>
    </xf>
    <xf numFmtId="0" fontId="26" fillId="22" borderId="47" xfId="19" applyFont="1" applyFill="1" applyBorder="1" applyAlignment="1" applyProtection="1">
      <alignment horizontal="center" vertical="center" wrapText="1"/>
    </xf>
    <xf numFmtId="0" fontId="0" fillId="22" borderId="0" xfId="0" applyFont="1" applyFill="1" applyAlignment="1">
      <alignment vertical="center"/>
    </xf>
    <xf numFmtId="0" fontId="26" fillId="22" borderId="14" xfId="19" applyFont="1" applyFill="1" applyBorder="1" applyAlignment="1" applyProtection="1">
      <alignment horizontal="center" vertical="center" wrapText="1"/>
    </xf>
    <xf numFmtId="0" fontId="26" fillId="22" borderId="22" xfId="19" applyFont="1" applyFill="1" applyBorder="1" applyAlignment="1" applyProtection="1">
      <alignment horizontal="center" vertical="center" wrapText="1"/>
    </xf>
    <xf numFmtId="0" fontId="33" fillId="22" borderId="27" xfId="19" applyFont="1" applyFill="1" applyBorder="1" applyAlignment="1" applyProtection="1">
      <alignment horizontal="center" vertical="center"/>
    </xf>
    <xf numFmtId="0" fontId="33" fillId="22" borderId="0" xfId="19" applyFont="1" applyFill="1" applyBorder="1" applyAlignment="1" applyProtection="1">
      <alignment horizontal="center" vertical="center"/>
    </xf>
    <xf numFmtId="0" fontId="33" fillId="22" borderId="39" xfId="19" applyFont="1" applyFill="1" applyBorder="1" applyAlignment="1" applyProtection="1">
      <alignment horizontal="center" vertical="center"/>
    </xf>
    <xf numFmtId="0" fontId="33" fillId="22" borderId="31" xfId="19" applyFont="1" applyFill="1" applyBorder="1" applyAlignment="1" applyProtection="1">
      <alignment horizontal="center" vertical="center"/>
    </xf>
    <xf numFmtId="0" fontId="36" fillId="22" borderId="0" xfId="0" applyFont="1" applyFill="1"/>
    <xf numFmtId="0" fontId="33" fillId="22" borderId="36" xfId="19" applyFont="1" applyFill="1" applyBorder="1" applyAlignment="1" applyProtection="1">
      <alignment horizontal="center" vertical="center"/>
    </xf>
    <xf numFmtId="0" fontId="33" fillId="22" borderId="11" xfId="19" applyFont="1" applyFill="1" applyBorder="1" applyAlignment="1" applyProtection="1">
      <alignment horizontal="center" vertical="center"/>
    </xf>
    <xf numFmtId="0" fontId="33" fillId="22" borderId="21" xfId="19" applyFont="1" applyFill="1" applyBorder="1" applyAlignment="1" applyProtection="1">
      <alignment horizontal="center" vertical="center"/>
    </xf>
    <xf numFmtId="9" fontId="36" fillId="22" borderId="0" xfId="2" applyFont="1" applyFill="1" applyBorder="1" applyAlignment="1">
      <alignment horizontal="center"/>
    </xf>
    <xf numFmtId="0" fontId="33" fillId="22" borderId="29" xfId="19" applyFont="1" applyFill="1" applyBorder="1" applyAlignment="1" applyProtection="1">
      <alignment horizontal="center"/>
    </xf>
    <xf numFmtId="0" fontId="33" fillId="22" borderId="0" xfId="19" applyFont="1" applyFill="1" applyBorder="1" applyAlignment="1" applyProtection="1">
      <alignment horizontal="center"/>
    </xf>
    <xf numFmtId="0" fontId="36" fillId="22" borderId="42" xfId="0" applyFont="1" applyFill="1" applyBorder="1" applyAlignment="1">
      <alignment horizontal="center"/>
    </xf>
    <xf numFmtId="9" fontId="36" fillId="22" borderId="38" xfId="2" applyFont="1" applyFill="1" applyBorder="1" applyAlignment="1">
      <alignment horizontal="center"/>
    </xf>
    <xf numFmtId="9" fontId="0" fillId="22" borderId="24" xfId="2" applyFont="1" applyFill="1" applyBorder="1" applyAlignment="1">
      <alignment horizontal="center"/>
    </xf>
    <xf numFmtId="0" fontId="36" fillId="22" borderId="29" xfId="0" applyFont="1" applyFill="1" applyBorder="1" applyAlignment="1">
      <alignment horizontal="center"/>
    </xf>
    <xf numFmtId="9" fontId="36" fillId="22" borderId="6" xfId="2" applyFont="1" applyFill="1" applyBorder="1" applyAlignment="1">
      <alignment horizontal="center"/>
    </xf>
    <xf numFmtId="9" fontId="0" fillId="22" borderId="6" xfId="2" applyFont="1" applyFill="1" applyBorder="1" applyAlignment="1">
      <alignment horizontal="center"/>
    </xf>
    <xf numFmtId="0" fontId="33" fillId="22" borderId="30" xfId="19" applyFont="1" applyFill="1" applyBorder="1" applyAlignment="1" applyProtection="1">
      <alignment horizontal="center"/>
    </xf>
    <xf numFmtId="0" fontId="36" fillId="22" borderId="30" xfId="0" applyFont="1" applyFill="1" applyBorder="1" applyAlignment="1">
      <alignment horizontal="center"/>
    </xf>
    <xf numFmtId="9" fontId="36" fillId="22" borderId="37" xfId="2" applyFont="1" applyFill="1" applyBorder="1" applyAlignment="1">
      <alignment horizontal="center"/>
    </xf>
    <xf numFmtId="0" fontId="0" fillId="22" borderId="0" xfId="0" applyFill="1" applyBorder="1" applyAlignment="1">
      <alignment horizontal="left" indent="1"/>
    </xf>
    <xf numFmtId="0" fontId="0" fillId="22" borderId="0" xfId="0" applyFill="1" applyAlignment="1">
      <alignment horizontal="left" indent="1"/>
    </xf>
    <xf numFmtId="0" fontId="26" fillId="22" borderId="0" xfId="0" applyFont="1" applyFill="1" applyBorder="1" applyAlignment="1" applyProtection="1">
      <alignment horizontal="left" indent="1"/>
    </xf>
    <xf numFmtId="0" fontId="0" fillId="22" borderId="40" xfId="0" applyFill="1" applyBorder="1" applyAlignment="1">
      <alignment horizontal="center" vertical="center" wrapText="1"/>
    </xf>
    <xf numFmtId="0" fontId="0" fillId="22" borderId="38" xfId="0" applyFill="1" applyBorder="1" applyAlignment="1">
      <alignment horizontal="center" vertical="center" wrapText="1"/>
    </xf>
    <xf numFmtId="0" fontId="0" fillId="22" borderId="41" xfId="0" applyFill="1" applyBorder="1" applyAlignment="1">
      <alignment horizontal="center" vertical="center" wrapText="1"/>
    </xf>
    <xf numFmtId="0" fontId="8" fillId="22" borderId="26" xfId="0" applyFont="1" applyFill="1" applyBorder="1" applyAlignment="1">
      <alignment horizontal="center" vertical="center" wrapText="1"/>
    </xf>
    <xf numFmtId="0" fontId="8" fillId="22" borderId="37" xfId="0" applyFont="1" applyFill="1" applyBorder="1" applyAlignment="1">
      <alignment horizontal="center" vertical="center" wrapText="1"/>
    </xf>
    <xf numFmtId="0" fontId="8" fillId="22" borderId="35" xfId="0" applyFont="1" applyFill="1" applyBorder="1" applyAlignment="1">
      <alignment horizontal="center" vertical="center" wrapText="1"/>
    </xf>
    <xf numFmtId="0" fontId="8" fillId="22" borderId="26" xfId="0" applyFont="1" applyFill="1" applyBorder="1" applyAlignment="1">
      <alignment horizontal="center"/>
    </xf>
    <xf numFmtId="0" fontId="8" fillId="22" borderId="37" xfId="0" applyFont="1" applyFill="1" applyBorder="1" applyAlignment="1">
      <alignment horizontal="center"/>
    </xf>
    <xf numFmtId="0" fontId="8" fillId="22" borderId="35" xfId="0" applyFont="1" applyFill="1" applyBorder="1" applyAlignment="1">
      <alignment horizontal="center"/>
    </xf>
    <xf numFmtId="0" fontId="36" fillId="22" borderId="47" xfId="0" applyFont="1" applyFill="1" applyBorder="1"/>
    <xf numFmtId="0" fontId="33" fillId="22" borderId="47" xfId="19" applyFont="1" applyFill="1" applyBorder="1" applyAlignment="1" applyProtection="1">
      <alignment horizontal="center" vertical="center" wrapText="1"/>
    </xf>
    <xf numFmtId="0" fontId="2" fillId="0" borderId="0" xfId="3" applyFont="1"/>
    <xf numFmtId="0" fontId="36" fillId="21" borderId="28" xfId="0" applyFont="1" applyFill="1" applyBorder="1" applyAlignment="1">
      <alignment horizontal="center"/>
    </xf>
    <xf numFmtId="0" fontId="36" fillId="21" borderId="44" xfId="0" applyFont="1" applyFill="1" applyBorder="1" applyAlignment="1">
      <alignment horizontal="center"/>
    </xf>
    <xf numFmtId="9" fontId="0" fillId="21" borderId="6" xfId="2" applyFont="1" applyFill="1" applyBorder="1" applyAlignment="1">
      <alignment horizontal="center"/>
    </xf>
    <xf numFmtId="172" fontId="36" fillId="21" borderId="46" xfId="2" applyNumberFormat="1" applyFont="1" applyFill="1" applyBorder="1" applyAlignment="1">
      <alignment horizontal="center"/>
    </xf>
    <xf numFmtId="172" fontId="36" fillId="21" borderId="41" xfId="0" applyNumberFormat="1" applyFont="1" applyFill="1" applyBorder="1" applyAlignment="1">
      <alignment horizontal="center"/>
    </xf>
    <xf numFmtId="0" fontId="36" fillId="21" borderId="26" xfId="0" applyFont="1" applyFill="1" applyBorder="1" applyAlignment="1">
      <alignment horizontal="center"/>
    </xf>
    <xf numFmtId="0" fontId="36" fillId="21" borderId="45" xfId="0" applyFont="1" applyFill="1" applyBorder="1" applyAlignment="1">
      <alignment horizontal="center"/>
    </xf>
    <xf numFmtId="9" fontId="0" fillId="21" borderId="37" xfId="2" applyFont="1" applyFill="1" applyBorder="1" applyAlignment="1">
      <alignment horizontal="center"/>
    </xf>
    <xf numFmtId="172" fontId="36" fillId="21" borderId="50" xfId="2" applyNumberFormat="1" applyFont="1" applyFill="1" applyBorder="1" applyAlignment="1">
      <alignment horizontal="center"/>
    </xf>
    <xf numFmtId="172" fontId="36" fillId="21" borderId="51" xfId="0" applyNumberFormat="1" applyFont="1" applyFill="1" applyBorder="1" applyAlignment="1">
      <alignment horizontal="center"/>
    </xf>
    <xf numFmtId="0" fontId="1" fillId="20" borderId="2" xfId="21" applyBorder="1" applyAlignment="1">
      <alignment horizontal="center"/>
    </xf>
    <xf numFmtId="9" fontId="1" fillId="20" borderId="2" xfId="21" applyNumberFormat="1" applyBorder="1" applyAlignment="1">
      <alignment horizontal="center"/>
    </xf>
    <xf numFmtId="10" fontId="1" fillId="20" borderId="2" xfId="21" applyNumberFormat="1" applyBorder="1" applyAlignment="1">
      <alignment horizontal="center"/>
    </xf>
    <xf numFmtId="0" fontId="0" fillId="20" borderId="2" xfId="21" applyFont="1" applyBorder="1" applyAlignment="1">
      <alignment horizontal="center"/>
    </xf>
    <xf numFmtId="167" fontId="26" fillId="0" borderId="6" xfId="2" applyNumberFormat="1" applyFont="1" applyBorder="1" applyAlignment="1">
      <alignment horizontal="center"/>
    </xf>
    <xf numFmtId="167" fontId="0" fillId="0" borderId="6" xfId="2" applyNumberFormat="1" applyFont="1" applyBorder="1" applyAlignment="1">
      <alignment horizontal="center"/>
    </xf>
    <xf numFmtId="167" fontId="27" fillId="0" borderId="6" xfId="2" applyNumberFormat="1" applyFont="1" applyFill="1" applyBorder="1" applyAlignment="1" applyProtection="1">
      <alignment horizontal="center"/>
    </xf>
    <xf numFmtId="175" fontId="36" fillId="22" borderId="48" xfId="0" applyNumberFormat="1" applyFont="1" applyFill="1" applyBorder="1" applyAlignment="1">
      <alignment horizontal="center"/>
    </xf>
    <xf numFmtId="175" fontId="36" fillId="22" borderId="43" xfId="0" applyNumberFormat="1" applyFont="1" applyFill="1" applyBorder="1" applyAlignment="1">
      <alignment horizontal="center"/>
    </xf>
    <xf numFmtId="175" fontId="36" fillId="22" borderId="46" xfId="2" applyNumberFormat="1" applyFont="1" applyFill="1" applyBorder="1" applyAlignment="1">
      <alignment horizontal="center"/>
    </xf>
    <xf numFmtId="175" fontId="36" fillId="22" borderId="49" xfId="2" applyNumberFormat="1" applyFont="1" applyFill="1" applyBorder="1" applyAlignment="1">
      <alignment horizontal="center"/>
    </xf>
    <xf numFmtId="175" fontId="36" fillId="22" borderId="33" xfId="0" applyNumberFormat="1" applyFont="1" applyFill="1" applyBorder="1" applyAlignment="1">
      <alignment horizontal="center"/>
    </xf>
    <xf numFmtId="175" fontId="36" fillId="22" borderId="41" xfId="0" applyNumberFormat="1" applyFont="1" applyFill="1" applyBorder="1" applyAlignment="1">
      <alignment horizontal="center"/>
    </xf>
    <xf numFmtId="175" fontId="0" fillId="22" borderId="40" xfId="0" applyNumberFormat="1" applyFill="1" applyBorder="1" applyAlignment="1">
      <alignment horizontal="center"/>
    </xf>
    <xf numFmtId="175" fontId="0" fillId="22" borderId="38" xfId="0" applyNumberFormat="1" applyFill="1" applyBorder="1" applyAlignment="1">
      <alignment horizontal="center"/>
    </xf>
    <xf numFmtId="175" fontId="0" fillId="22" borderId="41" xfId="0" applyNumberFormat="1" applyFill="1" applyBorder="1" applyAlignment="1">
      <alignment horizontal="center"/>
    </xf>
    <xf numFmtId="175" fontId="0" fillId="22" borderId="28" xfId="0" applyNumberFormat="1" applyFill="1" applyBorder="1" applyAlignment="1">
      <alignment horizontal="center"/>
    </xf>
    <xf numFmtId="175" fontId="0" fillId="22" borderId="6" xfId="0" applyNumberFormat="1" applyFill="1" applyBorder="1" applyAlignment="1">
      <alignment horizontal="center"/>
    </xf>
    <xf numFmtId="175" fontId="0" fillId="22" borderId="34" xfId="0" applyNumberFormat="1" applyFill="1" applyBorder="1" applyAlignment="1">
      <alignment horizontal="center"/>
    </xf>
    <xf numFmtId="175" fontId="0" fillId="22" borderId="26" xfId="0" applyNumberFormat="1" applyFill="1" applyBorder="1" applyAlignment="1">
      <alignment horizontal="center"/>
    </xf>
    <xf numFmtId="175" fontId="0" fillId="22" borderId="37" xfId="0" applyNumberFormat="1" applyFill="1" applyBorder="1" applyAlignment="1">
      <alignment horizontal="center"/>
    </xf>
    <xf numFmtId="175" fontId="0" fillId="22" borderId="35" xfId="0" applyNumberFormat="1" applyFill="1" applyBorder="1" applyAlignment="1">
      <alignment horizontal="center"/>
    </xf>
    <xf numFmtId="175" fontId="36" fillId="22" borderId="23" xfId="0" applyNumberFormat="1" applyFont="1" applyFill="1" applyBorder="1" applyAlignment="1">
      <alignment horizontal="center"/>
    </xf>
    <xf numFmtId="175" fontId="36" fillId="22" borderId="40" xfId="0" applyNumberFormat="1" applyFont="1" applyFill="1" applyBorder="1" applyAlignment="1">
      <alignment horizontal="center"/>
    </xf>
    <xf numFmtId="175" fontId="26" fillId="22" borderId="40" xfId="19" applyNumberFormat="1" applyFont="1" applyFill="1" applyBorder="1" applyAlignment="1" applyProtection="1">
      <alignment horizontal="center" vertical="center"/>
    </xf>
    <xf numFmtId="175" fontId="26" fillId="22" borderId="28" xfId="19" applyNumberFormat="1" applyFont="1" applyFill="1" applyBorder="1" applyAlignment="1" applyProtection="1">
      <alignment horizontal="center" vertical="center"/>
    </xf>
    <xf numFmtId="175" fontId="26" fillId="22" borderId="26" xfId="19" applyNumberFormat="1" applyFont="1" applyFill="1" applyBorder="1" applyAlignment="1" applyProtection="1">
      <alignment horizontal="center" vertical="center"/>
    </xf>
    <xf numFmtId="175" fontId="36" fillId="22" borderId="34" xfId="0" applyNumberFormat="1" applyFont="1" applyFill="1" applyBorder="1" applyAlignment="1">
      <alignment horizontal="center"/>
    </xf>
    <xf numFmtId="175" fontId="36" fillId="22" borderId="35" xfId="0" applyNumberFormat="1" applyFont="1" applyFill="1" applyBorder="1" applyAlignment="1">
      <alignment horizontal="center"/>
    </xf>
    <xf numFmtId="0" fontId="33" fillId="22" borderId="21" xfId="19" applyFont="1" applyFill="1" applyBorder="1" applyAlignment="1" applyProtection="1">
      <alignment horizontal="center" vertical="center" wrapText="1"/>
    </xf>
    <xf numFmtId="0" fontId="33" fillId="22" borderId="22" xfId="19" applyFont="1" applyFill="1" applyBorder="1" applyAlignment="1" applyProtection="1">
      <alignment horizontal="center" vertical="center" wrapText="1"/>
    </xf>
    <xf numFmtId="0" fontId="33" fillId="22" borderId="11" xfId="19" applyFont="1" applyFill="1" applyBorder="1" applyAlignment="1" applyProtection="1">
      <alignment horizontal="center" vertical="center" wrapText="1"/>
    </xf>
    <xf numFmtId="0" fontId="33" fillId="22" borderId="12" xfId="19" applyFont="1" applyFill="1" applyBorder="1" applyAlignment="1" applyProtection="1">
      <alignment horizontal="center" vertical="center" wrapText="1"/>
    </xf>
    <xf numFmtId="0" fontId="33" fillId="22" borderId="13" xfId="19" applyFont="1" applyFill="1" applyBorder="1" applyAlignment="1" applyProtection="1">
      <alignment horizontal="center" vertical="center" wrapText="1"/>
    </xf>
    <xf numFmtId="0" fontId="33" fillId="22" borderId="14" xfId="19" applyFont="1" applyFill="1" applyBorder="1" applyAlignment="1" applyProtection="1">
      <alignment horizontal="center" vertical="center" wrapText="1"/>
    </xf>
    <xf numFmtId="0" fontId="33" fillId="22" borderId="0" xfId="19" applyFont="1" applyFill="1" applyBorder="1" applyAlignment="1" applyProtection="1">
      <alignment horizontal="center" vertical="center" wrapText="1"/>
    </xf>
    <xf numFmtId="0" fontId="33" fillId="22" borderId="15" xfId="19" applyFont="1" applyFill="1" applyBorder="1" applyAlignment="1" applyProtection="1">
      <alignment horizontal="center" vertical="center" wrapText="1"/>
    </xf>
    <xf numFmtId="0" fontId="8" fillId="22" borderId="23" xfId="0" applyFont="1" applyFill="1" applyBorder="1" applyAlignment="1">
      <alignment horizontal="center" vertical="center" wrapText="1"/>
    </xf>
    <xf numFmtId="0" fontId="8" fillId="22" borderId="24" xfId="0" applyFont="1" applyFill="1" applyBorder="1" applyAlignment="1">
      <alignment horizontal="center" vertical="center" wrapText="1"/>
    </xf>
    <xf numFmtId="0" fontId="8" fillId="22" borderId="33" xfId="0" applyFont="1" applyFill="1" applyBorder="1" applyAlignment="1">
      <alignment horizontal="center" vertical="center" wrapText="1"/>
    </xf>
    <xf numFmtId="0" fontId="8" fillId="22" borderId="28" xfId="0" applyFont="1" applyFill="1" applyBorder="1" applyAlignment="1">
      <alignment horizontal="center" vertical="center" wrapText="1"/>
    </xf>
    <xf numFmtId="0" fontId="8" fillId="22" borderId="6" xfId="0" applyFont="1" applyFill="1" applyBorder="1" applyAlignment="1">
      <alignment horizontal="center" vertical="center" wrapText="1"/>
    </xf>
    <xf numFmtId="0" fontId="8" fillId="22" borderId="34" xfId="0" applyFont="1" applyFill="1" applyBorder="1" applyAlignment="1">
      <alignment horizontal="center" vertical="center" wrapText="1"/>
    </xf>
    <xf numFmtId="0" fontId="33" fillId="0" borderId="11" xfId="19" applyFont="1" applyFill="1" applyBorder="1" applyAlignment="1" applyProtection="1">
      <alignment horizontal="center" vertical="center" wrapText="1"/>
    </xf>
    <xf numFmtId="0" fontId="33" fillId="0" borderId="13" xfId="19" applyFont="1" applyFill="1" applyBorder="1" applyAlignment="1" applyProtection="1">
      <alignment horizontal="center" vertical="center" wrapText="1"/>
    </xf>
    <xf numFmtId="0" fontId="33" fillId="0" borderId="14" xfId="19" applyFont="1" applyFill="1" applyBorder="1" applyAlignment="1" applyProtection="1">
      <alignment horizontal="center" vertical="center" wrapText="1"/>
    </xf>
    <xf numFmtId="0" fontId="33" fillId="0" borderId="15" xfId="19" applyFont="1" applyFill="1" applyBorder="1" applyAlignment="1" applyProtection="1">
      <alignment horizontal="center" vertical="center" wrapText="1"/>
    </xf>
    <xf numFmtId="0" fontId="33" fillId="0" borderId="21" xfId="19" applyFont="1" applyFill="1" applyBorder="1" applyAlignment="1" applyProtection="1">
      <alignment horizontal="center" vertical="center" wrapText="1"/>
    </xf>
    <xf numFmtId="0" fontId="33" fillId="0" borderId="22" xfId="19" applyFont="1" applyFill="1" applyBorder="1" applyAlignment="1" applyProtection="1">
      <alignment horizontal="center" vertical="center" wrapText="1"/>
    </xf>
    <xf numFmtId="0" fontId="30" fillId="0" borderId="0" xfId="17" applyFont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3" fillId="0" borderId="1" xfId="4" applyAlignment="1">
      <alignment horizontal="left"/>
    </xf>
    <xf numFmtId="0" fontId="10" fillId="0" borderId="0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24" fillId="16" borderId="0" xfId="0" applyFont="1" applyFill="1" applyAlignment="1">
      <alignment horizontal="center"/>
    </xf>
    <xf numFmtId="0" fontId="32" fillId="16" borderId="0" xfId="0" applyFont="1" applyFill="1" applyAlignment="1">
      <alignment horizontal="center" vertical="center" wrapText="1"/>
    </xf>
    <xf numFmtId="0" fontId="25" fillId="16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8" fillId="9" borderId="8" xfId="13" applyFont="1" applyBorder="1" applyAlignment="1">
      <alignment horizontal="center"/>
    </xf>
    <xf numFmtId="0" fontId="8" fillId="10" borderId="8" xfId="14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7" borderId="8" xfId="11" applyBorder="1" applyAlignment="1">
      <alignment horizontal="center"/>
    </xf>
    <xf numFmtId="0" fontId="1" fillId="8" borderId="8" xfId="12" applyBorder="1" applyAlignment="1">
      <alignment horizontal="center"/>
    </xf>
    <xf numFmtId="0" fontId="1" fillId="5" borderId="8" xfId="9" applyBorder="1" applyAlignment="1">
      <alignment horizontal="center"/>
    </xf>
    <xf numFmtId="0" fontId="1" fillId="6" borderId="8" xfId="10" applyBorder="1" applyAlignment="1">
      <alignment horizontal="center"/>
    </xf>
    <xf numFmtId="0" fontId="3" fillId="0" borderId="1" xfId="4" applyAlignment="1">
      <alignment horizontal="center"/>
    </xf>
    <xf numFmtId="0" fontId="8" fillId="11" borderId="5" xfId="9" applyFont="1" applyFill="1" applyBorder="1" applyAlignment="1">
      <alignment horizontal="center"/>
    </xf>
    <xf numFmtId="0" fontId="1" fillId="7" borderId="5" xfId="11" applyBorder="1" applyAlignment="1">
      <alignment horizontal="center"/>
    </xf>
    <xf numFmtId="0" fontId="4" fillId="2" borderId="5" xfId="5" applyBorder="1" applyAlignment="1">
      <alignment horizontal="center"/>
    </xf>
  </cellXfs>
  <cellStyles count="22">
    <cellStyle name="20% - Accent1" xfId="9" builtinId="30"/>
    <cellStyle name="20% - Accent2" xfId="11" builtinId="34"/>
    <cellStyle name="20% - Accent5" xfId="21" builtinId="46"/>
    <cellStyle name="20% - Accent6" xfId="13" builtinId="50"/>
    <cellStyle name="40% - Accent1" xfId="10" builtinId="31"/>
    <cellStyle name="40% - Accent2" xfId="12" builtinId="35"/>
    <cellStyle name="40% - Accent6" xfId="14" builtinId="51"/>
    <cellStyle name="Comma" xfId="1" builtinId="3"/>
    <cellStyle name="Comma 2" xfId="18"/>
    <cellStyle name="Currency" xfId="15" builtinId="4"/>
    <cellStyle name="Explanatory Text" xfId="16" builtinId="53"/>
    <cellStyle name="Good" xfId="5" builtinId="26"/>
    <cellStyle name="Heading 1" xfId="4" builtinId="16"/>
    <cellStyle name="Input" xfId="6" builtinId="20"/>
    <cellStyle name="Linked Cell" xfId="8" builtinId="24"/>
    <cellStyle name="Normal" xfId="0" builtinId="0"/>
    <cellStyle name="Normal 2" xfId="17"/>
    <cellStyle name="Normal 3" xfId="19"/>
    <cellStyle name="Normal 6" xfId="20"/>
    <cellStyle name="Output" xfId="7" builtinId="21"/>
    <cellStyle name="Percent" xfId="2" builtinId="5"/>
    <cellStyle name="Title" xfId="3" builtinId="15"/>
  </cellStyles>
  <dxfs count="28"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  <dxf>
      <font>
        <b/>
        <i/>
        <color theme="4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133349</xdr:colOff>
      <xdr:row>5</xdr:row>
      <xdr:rowOff>28575</xdr:rowOff>
    </xdr:from>
    <xdr:to>
      <xdr:col>13</xdr:col>
      <xdr:colOff>1152524</xdr:colOff>
      <xdr:row>13</xdr:row>
      <xdr:rowOff>66676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6528D35E-0AD6-4729-A9DD-63CCCD0978FD}"/>
            </a:ext>
          </a:extLst>
        </xdr:cNvPr>
        <xdr:cNvSpPr txBox="1"/>
      </xdr:nvSpPr>
      <xdr:spPr>
        <a:xfrm>
          <a:off x="5429249" y="1200150"/>
          <a:ext cx="5324475" cy="14859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Retail</a:t>
          </a:r>
          <a:r>
            <a:rPr lang="en-US" sz="1100" baseline="0"/>
            <a:t> Values:</a:t>
          </a:r>
        </a:p>
        <a:p>
          <a:r>
            <a:rPr lang="en-US" sz="1100" b="1" baseline="0"/>
            <a:t>-- Cleared </a:t>
          </a:r>
          <a:r>
            <a:rPr lang="en-US" sz="1100" baseline="0"/>
            <a:t>scaled up to include DL</a:t>
          </a:r>
        </a:p>
        <a:p>
          <a:r>
            <a:rPr lang="en-US" sz="1100" b="1" baseline="0"/>
            <a:t>-- Uncleared</a:t>
          </a:r>
          <a:r>
            <a:rPr lang="en-US" sz="1100" baseline="0"/>
            <a:t> scaled up to include WRP, DL, PTF</a:t>
          </a:r>
        </a:p>
        <a:p>
          <a:endParaRPr lang="en-US" sz="1100" baseline="0"/>
        </a:p>
        <a:p>
          <a:r>
            <a:rPr lang="en-US" sz="1100" baseline="0"/>
            <a:t>Wholesale Values:</a:t>
          </a:r>
        </a:p>
        <a:p>
          <a:r>
            <a:rPr lang="en-US" sz="1100" b="1" baseline="0"/>
            <a:t>-- Uncleared </a:t>
          </a:r>
          <a:r>
            <a:rPr lang="en-US" sz="1100" baseline="0"/>
            <a:t>scaled up to include the reserve margin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9524</xdr:colOff>
      <xdr:row>6</xdr:row>
      <xdr:rowOff>9525</xdr:rowOff>
    </xdr:from>
    <xdr:to>
      <xdr:col>13</xdr:col>
      <xdr:colOff>95249</xdr:colOff>
      <xdr:row>10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E2C66F3F-F177-43AE-B715-2EAD28E63402}"/>
            </a:ext>
          </a:extLst>
        </xdr:cNvPr>
        <xdr:cNvSpPr txBox="1"/>
      </xdr:nvSpPr>
      <xdr:spPr>
        <a:xfrm>
          <a:off x="4943474" y="1266825"/>
          <a:ext cx="3133725" cy="12192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Sources:</a:t>
          </a:r>
        </a:p>
        <a:p>
          <a:endParaRPr lang="en-US" sz="1100"/>
        </a:p>
        <a:p>
          <a:r>
            <a:rPr lang="en-US" sz="1100"/>
            <a:t>[1]:</a:t>
          </a:r>
          <a:r>
            <a:rPr lang="en-US" sz="1100" baseline="0"/>
            <a:t> Reserve Margin from AESC Table 64</a:t>
          </a:r>
        </a:p>
        <a:p>
          <a:endParaRPr lang="en-US" sz="1100" baseline="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[2]: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FCA Clearing Price from AESC Table 64. Cf. Appendix B, Column J.</a:t>
          </a:r>
          <a:endParaRPr lang="en-US" sz="1100" baseline="0"/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234297</xdr:colOff>
      <xdr:row>44</xdr:row>
      <xdr:rowOff>151094</xdr:rowOff>
    </xdr:from>
    <xdr:to>
      <xdr:col>9</xdr:col>
      <xdr:colOff>94597</xdr:colOff>
      <xdr:row>58</xdr:row>
      <xdr:rowOff>49494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3FBCAF61-FE9D-423E-B7AB-A058463311FE}"/>
            </a:ext>
          </a:extLst>
        </xdr:cNvPr>
        <xdr:cNvSpPr txBox="1"/>
      </xdr:nvSpPr>
      <xdr:spPr>
        <a:xfrm>
          <a:off x="1074738" y="9501003"/>
          <a:ext cx="6583830" cy="27418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Duration (D) = the number of years a program is in effect</a:t>
          </a:r>
        </a:p>
        <a:p>
          <a:r>
            <a:rPr lang="en-US" sz="1100" b="1"/>
            <a:t>Year</a:t>
          </a:r>
          <a:r>
            <a:rPr lang="en-US" sz="1100" b="1" baseline="0"/>
            <a:t> (N) = the first year of a uncleared capacity program.</a:t>
          </a:r>
          <a:endParaRPr lang="en-US" sz="1100" b="1"/>
        </a:p>
        <a:p>
          <a:endParaRPr lang="en-US" sz="1100" b="1"/>
        </a:p>
        <a:p>
          <a:r>
            <a:rPr lang="en-US" sz="1100" b="1"/>
            <a:t>PHASE</a:t>
          </a:r>
          <a:r>
            <a:rPr lang="en-US" sz="1100" b="1" baseline="0"/>
            <a:t> IN</a:t>
          </a:r>
          <a:endParaRPr lang="en-US" sz="1100" b="1"/>
        </a:p>
        <a:p>
          <a:r>
            <a:rPr lang="en-US" sz="1100"/>
            <a:t>Using</a:t>
          </a:r>
          <a:r>
            <a:rPr lang="en-US" sz="1100" baseline="0"/>
            <a:t> the simplified decay schedules, it takes five years for full phase in to occur.  If a program starts in year N, the first effects are felt in year N+5 and full effects in year N+9. Put differently, there are four years with partial effects.</a:t>
          </a:r>
        </a:p>
        <a:p>
          <a:endParaRPr lang="en-US" sz="1100" baseline="0"/>
        </a:p>
        <a:p>
          <a:r>
            <a:rPr lang="en-US" sz="1100" b="1" baseline="0"/>
            <a:t>FULL INCLUSION</a:t>
          </a:r>
        </a:p>
        <a:p>
          <a:r>
            <a:rPr lang="en-US" sz="1100" b="0" baseline="0"/>
            <a:t>A five year program will be fully phased in for two years (N+9, N+10).  A program of more than five years will add fully included years in between the five year phase in and five year phase out.</a:t>
          </a:r>
        </a:p>
        <a:p>
          <a:endParaRPr lang="en-US" sz="1100" baseline="0"/>
        </a:p>
        <a:p>
          <a:r>
            <a:rPr lang="en-US" sz="1100" b="1"/>
            <a:t>PHASE</a:t>
          </a:r>
          <a:r>
            <a:rPr lang="en-US" sz="1100" b="1" baseline="0"/>
            <a:t> OUT</a:t>
          </a:r>
        </a:p>
        <a:p>
          <a:r>
            <a:rPr lang="en-US" sz="1100" b="0" baseline="0"/>
            <a:t>A five year program phases out over five years starting in year N+10 and concluding in year N+15 (from the last full year, to no effect) on the schedule: 100%, 70%, 50%, 30%, 10%, 0%.  As with phase in, there are four years with partial effects.  </a:t>
          </a:r>
        </a:p>
      </xdr:txBody>
    </xdr:sp>
    <xdr:clientData/>
  </xdr:twoCellAnchor>
  <xdr:twoCellAnchor>
    <xdr:from>
      <xdr:col>10</xdr:col>
      <xdr:colOff>257829</xdr:colOff>
      <xdr:row>44</xdr:row>
      <xdr:rowOff>186951</xdr:rowOff>
    </xdr:from>
    <xdr:to>
      <xdr:col>20</xdr:col>
      <xdr:colOff>103188</xdr:colOff>
      <xdr:row>58</xdr:row>
      <xdr:rowOff>85446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5C34D2FC-C9CD-4AAD-B7BA-FE4A98C9F838}"/>
            </a:ext>
          </a:extLst>
        </xdr:cNvPr>
        <xdr:cNvSpPr txBox="1"/>
      </xdr:nvSpPr>
      <xdr:spPr>
        <a:xfrm>
          <a:off x="8662241" y="9536860"/>
          <a:ext cx="8249771" cy="27419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Duration (D) = the number of years a program is in effect</a:t>
          </a:r>
        </a:p>
        <a:p>
          <a:r>
            <a:rPr lang="en-US" sz="1100" b="1"/>
            <a:t>Year</a:t>
          </a:r>
          <a:r>
            <a:rPr lang="en-US" sz="1100" b="1" baseline="0"/>
            <a:t> (N) = the first year of a uncleared capacity program.</a:t>
          </a:r>
          <a:endParaRPr lang="en-US" sz="1100" b="1"/>
        </a:p>
        <a:p>
          <a:endParaRPr lang="en-US" sz="1100" b="1"/>
        </a:p>
        <a:p>
          <a:r>
            <a:rPr lang="en-US" sz="1100" b="1"/>
            <a:t>PHASE</a:t>
          </a:r>
          <a:r>
            <a:rPr lang="en-US" sz="1100" b="1" baseline="0"/>
            <a:t> IN</a:t>
          </a:r>
          <a:endParaRPr lang="en-US" sz="1100" b="1"/>
        </a:p>
        <a:p>
          <a:r>
            <a:rPr lang="en-US" sz="1100"/>
            <a:t>Using</a:t>
          </a:r>
          <a:r>
            <a:rPr lang="en-US" sz="1100" baseline="0"/>
            <a:t> the simplified decay schedules, it takes five years for full phase in to occur.  If a program starts in year N, the first effects are felt in year N+5 and partial years occur in through year N+8.  Full effects are felt in year N+9.  N+9 can also be thought of as N + 4 (phase in) + 1 (full)</a:t>
          </a:r>
        </a:p>
        <a:p>
          <a:endParaRPr lang="en-US" sz="1100" baseline="0"/>
        </a:p>
        <a:p>
          <a:r>
            <a:rPr lang="en-US" sz="1100" b="1" baseline="0"/>
            <a:t>Full Effects</a:t>
          </a:r>
        </a:p>
        <a:p>
          <a:r>
            <a:rPr lang="en-US" sz="1100" baseline="0"/>
            <a:t>If duration is &gt;=5, then full effects occur for (D - 4) years.  So, for example a five year program (D=5) has 1 full year.  A 6 year program has 2 full years, and so on.  These years start in N+9 and continue for (D - 4) years.</a:t>
          </a:r>
        </a:p>
        <a:p>
          <a:endParaRPr lang="en-US" sz="1100" baseline="0"/>
        </a:p>
        <a:p>
          <a:r>
            <a:rPr lang="en-US" sz="1100" b="1" baseline="0"/>
            <a:t>Phase Out</a:t>
          </a:r>
        </a:p>
        <a:p>
          <a:r>
            <a:rPr lang="en-US" sz="1100" b="0" baseline="0"/>
            <a:t>For a 5+ year program, phase out starts in year N+8 +D - 4 = N+D+4 and continues for four years.  Full phase out occurs in year N+D+9.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128588</xdr:colOff>
      <xdr:row>19</xdr:row>
      <xdr:rowOff>166687</xdr:rowOff>
    </xdr:from>
    <xdr:to>
      <xdr:col>15</xdr:col>
      <xdr:colOff>133350</xdr:colOff>
      <xdr:row>27</xdr:row>
      <xdr:rowOff>176213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27AB292-FD6D-4108-B9D9-57C25D1032C1}"/>
            </a:ext>
          </a:extLst>
        </xdr:cNvPr>
        <xdr:cNvSpPr txBox="1"/>
      </xdr:nvSpPr>
      <xdr:spPr>
        <a:xfrm>
          <a:off x="8162926" y="3867150"/>
          <a:ext cx="3243262" cy="1471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Retail</a:t>
          </a:r>
          <a:r>
            <a:rPr lang="en-US" sz="1100" baseline="0"/>
            <a:t> Values:</a:t>
          </a:r>
        </a:p>
        <a:p>
          <a:r>
            <a:rPr lang="en-US" sz="1100" b="1" baseline="0"/>
            <a:t>-- Cleared </a:t>
          </a:r>
          <a:r>
            <a:rPr lang="en-US" sz="1100" baseline="0"/>
            <a:t>scaled up to include DL</a:t>
          </a:r>
        </a:p>
        <a:p>
          <a:r>
            <a:rPr lang="en-US" sz="1100" b="1" baseline="0"/>
            <a:t>-- Uncleared</a:t>
          </a:r>
          <a:r>
            <a:rPr lang="en-US" sz="1100" baseline="0"/>
            <a:t> scaled up to include WRP, DL, PTF</a:t>
          </a:r>
        </a:p>
        <a:p>
          <a:endParaRPr lang="en-US" sz="1100" baseline="0"/>
        </a:p>
        <a:p>
          <a:r>
            <a:rPr lang="en-US" sz="1100" baseline="0"/>
            <a:t>Wholesale Values:</a:t>
          </a:r>
        </a:p>
        <a:p>
          <a:r>
            <a:rPr lang="en-US" sz="1100" b="1" baseline="0"/>
            <a:t>-- Uncleared </a:t>
          </a:r>
          <a:r>
            <a:rPr lang="en-US" sz="1100" baseline="0"/>
            <a:t>scaled up to include the reserve margin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12</xdr:row>
      <xdr:rowOff>0</xdr:rowOff>
    </xdr:from>
    <xdr:to>
      <xdr:col>11</xdr:col>
      <xdr:colOff>600075</xdr:colOff>
      <xdr:row>20</xdr:row>
      <xdr:rowOff>14288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FD9296D0-A3BD-4F36-98DB-24654A330867}"/>
            </a:ext>
          </a:extLst>
        </xdr:cNvPr>
        <xdr:cNvSpPr txBox="1"/>
      </xdr:nvSpPr>
      <xdr:spPr>
        <a:xfrm>
          <a:off x="4533900" y="2400300"/>
          <a:ext cx="3190875" cy="14716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Retail</a:t>
          </a:r>
          <a:r>
            <a:rPr lang="en-US" sz="1100" baseline="0"/>
            <a:t> Reliability:</a:t>
          </a:r>
        </a:p>
        <a:p>
          <a:r>
            <a:rPr lang="en-US" sz="1100" b="1" baseline="0"/>
            <a:t>-- Cleared </a:t>
          </a:r>
          <a:r>
            <a:rPr lang="en-US" sz="1100" baseline="0"/>
            <a:t>scaled up to include DL</a:t>
          </a:r>
        </a:p>
        <a:p>
          <a:r>
            <a:rPr lang="en-US" sz="1100" b="1" baseline="0"/>
            <a:t>-- Uncleared</a:t>
          </a:r>
          <a:r>
            <a:rPr lang="en-US" sz="1100" baseline="0"/>
            <a:t> scaled up to include WRP, DL, PTF</a:t>
          </a:r>
        </a:p>
        <a:p>
          <a:endParaRPr lang="en-US" sz="1100" baseline="0"/>
        </a:p>
        <a:p>
          <a:r>
            <a:rPr lang="en-US" sz="1100" baseline="0"/>
            <a:t>Wholesale Reliability:</a:t>
          </a:r>
        </a:p>
        <a:p>
          <a:r>
            <a:rPr lang="en-US" sz="1100" b="1" baseline="0"/>
            <a:t>-- Uncleared </a:t>
          </a:r>
          <a:r>
            <a:rPr lang="en-US" sz="1100" baseline="0"/>
            <a:t>scaled up to include the reserve margin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185736</xdr:colOff>
      <xdr:row>9</xdr:row>
      <xdr:rowOff>14288</xdr:rowOff>
    </xdr:from>
    <xdr:to>
      <xdr:col>12</xdr:col>
      <xdr:colOff>138111</xdr:colOff>
      <xdr:row>16</xdr:row>
      <xdr:rowOff>57151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BA7DBA96-A149-4124-B0A1-5F71BEE94F2D}"/>
            </a:ext>
          </a:extLst>
        </xdr:cNvPr>
        <xdr:cNvSpPr txBox="1"/>
      </xdr:nvSpPr>
      <xdr:spPr>
        <a:xfrm>
          <a:off x="5753099" y="1862138"/>
          <a:ext cx="3190875" cy="14620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Retail</a:t>
          </a:r>
          <a:r>
            <a:rPr lang="en-US" sz="1100" baseline="0"/>
            <a:t> Capacity:</a:t>
          </a:r>
        </a:p>
        <a:p>
          <a:r>
            <a:rPr lang="en-US" sz="1100" b="1" baseline="0"/>
            <a:t>-- Cleared </a:t>
          </a:r>
          <a:r>
            <a:rPr lang="en-US" sz="1100" baseline="0"/>
            <a:t>scaled up to include DL</a:t>
          </a:r>
        </a:p>
        <a:p>
          <a:r>
            <a:rPr lang="en-US" sz="1100" b="1" baseline="0"/>
            <a:t>-- Uncleared</a:t>
          </a:r>
          <a:r>
            <a:rPr lang="en-US" sz="1100" baseline="0"/>
            <a:t> scaled up to include WRP, DL, PTF</a:t>
          </a:r>
        </a:p>
        <a:p>
          <a:endParaRPr lang="en-US" sz="1100" baseline="0"/>
        </a:p>
        <a:p>
          <a:r>
            <a:rPr lang="en-US" sz="1100" baseline="0"/>
            <a:t>Wholesale Capacity:</a:t>
          </a:r>
        </a:p>
        <a:p>
          <a:r>
            <a:rPr lang="en-US" sz="1100" b="1" baseline="0"/>
            <a:t>-- Uncleared </a:t>
          </a:r>
          <a:r>
            <a:rPr lang="en-US" sz="1100" baseline="0"/>
            <a:t>scaled up to include the reserve margin</a:t>
          </a:r>
        </a:p>
        <a:p>
          <a:endParaRPr lang="en-US" sz="1100" baseline="0"/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5"/>
  <sheetViews>
    <sheetView tabSelected="1" workbookViewId="0">
      <selection activeCell="U19" sqref="U19"/>
    </sheetView>
  </sheetViews>
  <sheetFormatPr defaultColWidth="9" defaultRowHeight="14.4" x14ac:dyDescent="0.3"/>
  <cols>
    <col min="1" max="1" width="4" style="162" customWidth="1"/>
    <col min="2" max="2" width="11.109375" style="162" customWidth="1"/>
    <col min="3" max="3" width="2.109375" style="162" customWidth="1"/>
    <col min="4" max="4" width="13.6640625" style="162" customWidth="1"/>
    <col min="5" max="5" width="2.44140625" style="162" customWidth="1"/>
    <col min="6" max="6" width="13.33203125" style="162" customWidth="1"/>
    <col min="7" max="7" width="9" style="162"/>
    <col min="8" max="8" width="22.44140625" style="162" customWidth="1"/>
    <col min="9" max="9" width="2.44140625" style="162" customWidth="1"/>
    <col min="10" max="11" width="16.33203125" style="162" customWidth="1"/>
    <col min="12" max="12" width="9" style="162"/>
    <col min="13" max="13" width="16.33203125" style="162" customWidth="1"/>
    <col min="14" max="14" width="17.88671875" style="162" customWidth="1"/>
    <col min="15" max="15" width="2.44140625" style="162" customWidth="1"/>
    <col min="16" max="16" width="19" style="162" customWidth="1"/>
    <col min="17" max="17" width="17.6640625" style="162" customWidth="1"/>
    <col min="18" max="18" width="17.44140625" style="162" customWidth="1"/>
    <col min="19" max="16384" width="9" style="162"/>
  </cols>
  <sheetData>
    <row r="1" spans="2:18" ht="23.4" x14ac:dyDescent="0.45">
      <c r="B1" s="167" t="s">
        <v>200</v>
      </c>
    </row>
    <row r="2" spans="2:18" x14ac:dyDescent="0.3">
      <c r="B2" s="162" t="s">
        <v>83</v>
      </c>
    </row>
    <row r="4" spans="2:18" ht="20.399999999999999" thickBot="1" x14ac:dyDescent="0.45">
      <c r="B4" s="165" t="s">
        <v>84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</row>
    <row r="5" spans="2:18" ht="20.399999999999999" thickTop="1" x14ac:dyDescent="0.4">
      <c r="B5" s="7" t="s">
        <v>73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</row>
    <row r="6" spans="2:18" x14ac:dyDescent="0.3">
      <c r="B6" s="194" t="s">
        <v>206</v>
      </c>
      <c r="C6" s="163"/>
      <c r="E6" s="163"/>
      <c r="F6" s="222" t="s">
        <v>35</v>
      </c>
      <c r="G6" s="163"/>
      <c r="H6" s="163"/>
      <c r="I6" s="163"/>
      <c r="J6" s="163"/>
      <c r="K6" s="163"/>
      <c r="L6" s="163"/>
      <c r="M6" s="163"/>
      <c r="N6" s="163"/>
      <c r="O6" s="163"/>
    </row>
    <row r="7" spans="2:18" x14ac:dyDescent="0.3">
      <c r="B7" s="195" t="s">
        <v>24</v>
      </c>
      <c r="F7" s="219">
        <v>2018</v>
      </c>
    </row>
    <row r="8" spans="2:18" x14ac:dyDescent="0.3">
      <c r="B8" s="195" t="s">
        <v>190</v>
      </c>
      <c r="F8" s="219">
        <v>30</v>
      </c>
    </row>
    <row r="10" spans="2:18" x14ac:dyDescent="0.3">
      <c r="B10" s="164" t="s">
        <v>202</v>
      </c>
    </row>
    <row r="11" spans="2:18" x14ac:dyDescent="0.3">
      <c r="B11" s="196" t="s">
        <v>75</v>
      </c>
      <c r="F11" s="220">
        <v>0.08</v>
      </c>
    </row>
    <row r="12" spans="2:18" x14ac:dyDescent="0.3">
      <c r="B12" s="196" t="s">
        <v>76</v>
      </c>
      <c r="F12" s="220">
        <v>0.08</v>
      </c>
    </row>
    <row r="13" spans="2:18" x14ac:dyDescent="0.3">
      <c r="B13" s="196" t="s">
        <v>189</v>
      </c>
      <c r="F13" s="221">
        <v>1.6E-2</v>
      </c>
    </row>
    <row r="15" spans="2:18" ht="20.399999999999999" thickBot="1" x14ac:dyDescent="0.45">
      <c r="B15" s="165" t="s">
        <v>195</v>
      </c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</row>
    <row r="16" spans="2:18" ht="15.6" thickTop="1" thickBot="1" x14ac:dyDescent="0.35"/>
    <row r="17" spans="2:19" ht="14.25" customHeight="1" x14ac:dyDescent="0.3">
      <c r="D17" s="248" t="s">
        <v>167</v>
      </c>
      <c r="F17" s="250" t="s">
        <v>104</v>
      </c>
      <c r="G17" s="251"/>
      <c r="H17" s="252"/>
      <c r="J17" s="250" t="s">
        <v>176</v>
      </c>
      <c r="K17" s="251"/>
      <c r="L17" s="251"/>
      <c r="M17" s="251"/>
      <c r="N17" s="252"/>
      <c r="P17" s="256" t="s">
        <v>194</v>
      </c>
      <c r="Q17" s="257"/>
      <c r="R17" s="258"/>
    </row>
    <row r="18" spans="2:19" x14ac:dyDescent="0.3">
      <c r="D18" s="249"/>
      <c r="F18" s="253"/>
      <c r="G18" s="254"/>
      <c r="H18" s="255"/>
      <c r="J18" s="253"/>
      <c r="K18" s="254"/>
      <c r="L18" s="254"/>
      <c r="M18" s="254"/>
      <c r="N18" s="255"/>
      <c r="P18" s="259"/>
      <c r="Q18" s="260"/>
      <c r="R18" s="261"/>
    </row>
    <row r="19" spans="2:19" x14ac:dyDescent="0.3">
      <c r="D19" s="249"/>
      <c r="F19" s="253"/>
      <c r="G19" s="254"/>
      <c r="H19" s="255"/>
      <c r="J19" s="253"/>
      <c r="K19" s="254"/>
      <c r="L19" s="254"/>
      <c r="M19" s="254"/>
      <c r="N19" s="255"/>
      <c r="P19" s="259"/>
      <c r="Q19" s="260"/>
      <c r="R19" s="261"/>
      <c r="S19" s="163"/>
    </row>
    <row r="20" spans="2:19" ht="51.75" customHeight="1" thickBot="1" x14ac:dyDescent="0.35">
      <c r="D20" s="249"/>
      <c r="F20" s="168" t="s">
        <v>201</v>
      </c>
      <c r="G20" s="168" t="s">
        <v>173</v>
      </c>
      <c r="H20" s="168" t="s">
        <v>174</v>
      </c>
      <c r="J20" s="168" t="s">
        <v>177</v>
      </c>
      <c r="K20" s="168" t="s">
        <v>178</v>
      </c>
      <c r="L20" s="168" t="s">
        <v>173</v>
      </c>
      <c r="M20" s="168" t="s">
        <v>179</v>
      </c>
      <c r="N20" s="168" t="s">
        <v>180</v>
      </c>
      <c r="P20" s="200" t="str">
        <f>H20</f>
        <v>Uncleared Capacity Price, Accounting for Phase-in / Phase-out</v>
      </c>
      <c r="Q20" s="201" t="str">
        <f>M20</f>
        <v>Net Uncleared Capacity DRIPE (Intrastate)</v>
      </c>
      <c r="R20" s="202" t="str">
        <f>N20</f>
        <v>Net Uncleared Capacity DRIPE (Interstate)</v>
      </c>
      <c r="S20" s="163"/>
    </row>
    <row r="21" spans="2:19" ht="48.75" customHeight="1" thickBot="1" x14ac:dyDescent="0.35">
      <c r="D21" s="207"/>
      <c r="F21" s="169" t="s">
        <v>181</v>
      </c>
      <c r="G21" s="169" t="s">
        <v>182</v>
      </c>
      <c r="H21" s="170" t="s">
        <v>183</v>
      </c>
      <c r="I21" s="171"/>
      <c r="J21" s="172" t="s">
        <v>184</v>
      </c>
      <c r="K21" s="172" t="s">
        <v>185</v>
      </c>
      <c r="L21" s="172" t="s">
        <v>186</v>
      </c>
      <c r="M21" s="172" t="s">
        <v>187</v>
      </c>
      <c r="N21" s="173" t="s">
        <v>188</v>
      </c>
      <c r="P21" s="197" t="s">
        <v>191</v>
      </c>
      <c r="Q21" s="198" t="s">
        <v>192</v>
      </c>
      <c r="R21" s="199" t="s">
        <v>193</v>
      </c>
      <c r="S21" s="163"/>
    </row>
    <row r="22" spans="2:19" ht="15" thickBot="1" x14ac:dyDescent="0.35">
      <c r="B22" s="174" t="s">
        <v>162</v>
      </c>
      <c r="C22" s="175"/>
      <c r="D22" s="206"/>
      <c r="E22" s="175"/>
      <c r="F22" s="176" t="str">
        <f>'Capacity Price Forecast'!G11</f>
        <v>$/kW-yr</v>
      </c>
      <c r="G22" s="176" t="s">
        <v>163</v>
      </c>
      <c r="H22" s="177" t="str">
        <f>F22</f>
        <v>$/kW-yr</v>
      </c>
      <c r="I22" s="178"/>
      <c r="J22" s="179" t="str">
        <f>F22</f>
        <v>$/kW-yr</v>
      </c>
      <c r="K22" s="179" t="str">
        <f>J22</f>
        <v>$/kW-yr</v>
      </c>
      <c r="L22" s="179" t="s">
        <v>163</v>
      </c>
      <c r="M22" s="180" t="str">
        <f>J22</f>
        <v>$/kW-yr</v>
      </c>
      <c r="N22" s="181" t="str">
        <f>H22</f>
        <v>$/kW-yr</v>
      </c>
      <c r="P22" s="203" t="str">
        <f>F22</f>
        <v>$/kW-yr</v>
      </c>
      <c r="Q22" s="204" t="str">
        <f>P22</f>
        <v>$/kW-yr</v>
      </c>
      <c r="R22" s="205" t="str">
        <f>P22</f>
        <v>$/kW-yr</v>
      </c>
      <c r="S22" s="182"/>
    </row>
    <row r="23" spans="2:19" x14ac:dyDescent="0.3">
      <c r="B23" s="183">
        <v>2018</v>
      </c>
      <c r="C23" s="184"/>
      <c r="D23" s="185" t="str">
        <f>IFERROR(VLOOKUP(B23,'Avoided Cap LFE (Addendum T2)'!$AG$12:$AJ$49,2,FALSE),"")</f>
        <v>N</v>
      </c>
      <c r="E23" s="184"/>
      <c r="F23" s="243">
        <f>'Capacity Price Forecast'!G12</f>
        <v>122.05307999999999</v>
      </c>
      <c r="G23" s="186">
        <f>IFERROR(VLOOKUP($B23,'Avoided Cap LFE (Addendum T2)'!$AG$12:$AJ$49,4,FALSE),0)</f>
        <v>0</v>
      </c>
      <c r="H23" s="231">
        <f>F23*G23</f>
        <v>0</v>
      </c>
      <c r="I23" s="178"/>
      <c r="J23" s="241">
        <f>INDEX('Gross Uncl. DRIPE (Table 145)'!$B$8:$H$25,MATCH('User Selectable Programs'!$B23,'Gross Uncl. DRIPE (Table 145)'!$A$8:$A$25,0),MATCH($F$6,'Gross Uncl. DRIPE (Table 145)'!$B$7:$H$7,0))</f>
        <v>11.7</v>
      </c>
      <c r="K23" s="226">
        <f>INDEX('Gross Uncl. DRIPE (Table 145)'!$J$8:$O$25,MATCH('User Selectable Programs'!$B23,'Gross Uncl. DRIPE (Table 145)'!$A$8:$A$25,0),MATCH($F$6,'Gross Uncl. DRIPE (Table 145)'!$J$7:$O$7))</f>
        <v>558.1</v>
      </c>
      <c r="L23" s="187">
        <f>IFERROR(INDEX('DRIPE LFE (Table 146)'!$D$12:$H$30,MATCH($B23,'DRIPE LFE (Table 146)'!$C$12:$C$30,0),MATCH($F$8,'DRIPE LFE (Table 146)'!$D$10:$H$10,1)),0)</f>
        <v>0</v>
      </c>
      <c r="M23" s="229">
        <f>J23*L23</f>
        <v>0</v>
      </c>
      <c r="N23" s="230">
        <f>K23*L23</f>
        <v>0</v>
      </c>
      <c r="P23" s="232">
        <f t="shared" ref="P23:P55" si="0">H23*(1+$F$11)*(1+$F$12)*(1+$F$13)</f>
        <v>0</v>
      </c>
      <c r="Q23" s="233">
        <f t="shared" ref="Q23:Q55" si="1">M23*(1+$F$11)*(1+$F$12)*(1+$F$13)</f>
        <v>0</v>
      </c>
      <c r="R23" s="234">
        <f t="shared" ref="R23:R55" si="2">N23*(1+$F$11)*(1+$F$12)*(1+$F$13)</f>
        <v>0</v>
      </c>
      <c r="S23" s="182"/>
    </row>
    <row r="24" spans="2:19" x14ac:dyDescent="0.3">
      <c r="B24" s="183">
        <v>2019</v>
      </c>
      <c r="C24" s="184"/>
      <c r="D24" s="188" t="str">
        <f>IFERROR(VLOOKUP(B24,'Avoided Cap LFE (Addendum T2)'!$AG$12:$AJ$49,2,FALSE),"")</f>
        <v>N+1</v>
      </c>
      <c r="E24" s="184"/>
      <c r="F24" s="244">
        <f>'Capacity Price Forecast'!G13</f>
        <v>119.81197999999999</v>
      </c>
      <c r="G24" s="189">
        <f>IFERROR(VLOOKUP($B24,'Avoided Cap LFE (Addendum T2)'!$AG$12:$AJ$49,4,FALSE),0)</f>
        <v>0</v>
      </c>
      <c r="H24" s="246">
        <f t="shared" ref="H24:H55" si="3">F24*G24</f>
        <v>0</v>
      </c>
      <c r="I24" s="178"/>
      <c r="J24" s="242">
        <f>INDEX('Gross Uncl. DRIPE (Table 145)'!$B$8:$H$25,MATCH('User Selectable Programs'!$B24,'Gross Uncl. DRIPE (Table 145)'!$A$8:$A$25,0),MATCH($F$6,'Gross Uncl. DRIPE (Table 145)'!$B$7:$H$7,0))</f>
        <v>7.2</v>
      </c>
      <c r="K24" s="227">
        <f>INDEX('Gross Uncl. DRIPE (Table 145)'!$J$8:$O$25,MATCH('User Selectable Programs'!$B24,'Gross Uncl. DRIPE (Table 145)'!$A$8:$A$25,0),MATCH($F$6,'Gross Uncl. DRIPE (Table 145)'!$J$7:$O$7,0))</f>
        <v>361.5</v>
      </c>
      <c r="L24" s="190">
        <f>IFERROR(INDEX('DRIPE LFE (Table 146)'!$D$12:$H$30,MATCH($B24,'DRIPE LFE (Table 146)'!$C$12:$C$30,0),MATCH($F$8,'DRIPE LFE (Table 146)'!$D$10:$H$10,1)),0)</f>
        <v>0</v>
      </c>
      <c r="M24" s="228">
        <f t="shared" ref="M24:M40" si="4">J24*L24</f>
        <v>0</v>
      </c>
      <c r="N24" s="231">
        <f t="shared" ref="N24:N40" si="5">K24*L24</f>
        <v>0</v>
      </c>
      <c r="P24" s="235">
        <f t="shared" si="0"/>
        <v>0</v>
      </c>
      <c r="Q24" s="236">
        <f t="shared" si="1"/>
        <v>0</v>
      </c>
      <c r="R24" s="237">
        <f t="shared" si="2"/>
        <v>0</v>
      </c>
      <c r="S24" s="182"/>
    </row>
    <row r="25" spans="2:19" x14ac:dyDescent="0.3">
      <c r="B25" s="183">
        <v>2020</v>
      </c>
      <c r="C25" s="184"/>
      <c r="D25" s="188" t="str">
        <f>IFERROR(VLOOKUP(B25,'Avoided Cap LFE (Addendum T2)'!$AG$12:$AJ$49,2,FALSE),"")</f>
        <v>N+2</v>
      </c>
      <c r="E25" s="184"/>
      <c r="F25" s="244">
        <f>'Capacity Price Forecast'!G14</f>
        <v>90.170850000000002</v>
      </c>
      <c r="G25" s="189">
        <f>IFERROR(VLOOKUP($B25,'Avoided Cap LFE (Addendum T2)'!$AG$12:$AJ$49,4,FALSE),0)</f>
        <v>0</v>
      </c>
      <c r="H25" s="246">
        <f t="shared" si="3"/>
        <v>0</v>
      </c>
      <c r="I25" s="178"/>
      <c r="J25" s="242">
        <f>INDEX('Gross Uncl. DRIPE (Table 145)'!$B$8:$H$25,MATCH('User Selectable Programs'!$B25,'Gross Uncl. DRIPE (Table 145)'!$A$8:$A$25,0),MATCH($F$6,'Gross Uncl. DRIPE (Table 145)'!$B$7:$H$7,0))</f>
        <v>11.2</v>
      </c>
      <c r="K25" s="227">
        <f>INDEX('Gross Uncl. DRIPE (Table 145)'!$J$8:$O$25,MATCH('User Selectable Programs'!$B25,'Gross Uncl. DRIPE (Table 145)'!$A$8:$A$25,0),MATCH($F$6,'Gross Uncl. DRIPE (Table 145)'!$J$7:$O$7,0))</f>
        <v>553.9</v>
      </c>
      <c r="L25" s="190">
        <f>IFERROR(INDEX('DRIPE LFE (Table 146)'!$D$12:$H$30,MATCH($B25,'DRIPE LFE (Table 146)'!$C$12:$C$30,0),MATCH($F$8,'DRIPE LFE (Table 146)'!$D$10:$H$10,1)),0)</f>
        <v>0</v>
      </c>
      <c r="M25" s="228">
        <f t="shared" si="4"/>
        <v>0</v>
      </c>
      <c r="N25" s="231">
        <f t="shared" si="5"/>
        <v>0</v>
      </c>
      <c r="P25" s="235">
        <f t="shared" si="0"/>
        <v>0</v>
      </c>
      <c r="Q25" s="236">
        <f t="shared" si="1"/>
        <v>0</v>
      </c>
      <c r="R25" s="237">
        <f t="shared" si="2"/>
        <v>0</v>
      </c>
      <c r="S25" s="182"/>
    </row>
    <row r="26" spans="2:19" x14ac:dyDescent="0.3">
      <c r="B26" s="183">
        <v>2021</v>
      </c>
      <c r="C26" s="184"/>
      <c r="D26" s="188" t="str">
        <f>IFERROR(VLOOKUP(B26,'Avoided Cap LFE (Addendum T2)'!$AG$12:$AJ$49,2,FALSE),"")</f>
        <v>N+3</v>
      </c>
      <c r="E26" s="184"/>
      <c r="F26" s="244">
        <f>'Capacity Price Forecast'!G15</f>
        <v>70.777330000000006</v>
      </c>
      <c r="G26" s="189">
        <f>IFERROR(VLOOKUP($B26,'Avoided Cap LFE (Addendum T2)'!$AG$12:$AJ$49,4,FALSE),0)</f>
        <v>0</v>
      </c>
      <c r="H26" s="246">
        <f t="shared" si="3"/>
        <v>0</v>
      </c>
      <c r="I26" s="178"/>
      <c r="J26" s="242">
        <f>INDEX('Gross Uncl. DRIPE (Table 145)'!$B$8:$H$25,MATCH('User Selectable Programs'!$B26,'Gross Uncl. DRIPE (Table 145)'!$A$8:$A$25,0),MATCH($F$6,'Gross Uncl. DRIPE (Table 145)'!$B$7:$H$7,0))</f>
        <v>2.7</v>
      </c>
      <c r="K26" s="227">
        <f>INDEX('Gross Uncl. DRIPE (Table 145)'!$J$8:$O$25,MATCH('User Selectable Programs'!$B26,'Gross Uncl. DRIPE (Table 145)'!$A$8:$A$25,0),MATCH($F$6,'Gross Uncl. DRIPE (Table 145)'!$J$7:$O$7,0))</f>
        <v>119.3</v>
      </c>
      <c r="L26" s="190">
        <f>IFERROR(INDEX('DRIPE LFE (Table 146)'!$D$12:$H$30,MATCH($B26,'DRIPE LFE (Table 146)'!$C$12:$C$30,0),MATCH($F$8,'DRIPE LFE (Table 146)'!$D$10:$H$10,1)),0)</f>
        <v>0</v>
      </c>
      <c r="M26" s="228">
        <f t="shared" si="4"/>
        <v>0</v>
      </c>
      <c r="N26" s="231">
        <f t="shared" si="5"/>
        <v>0</v>
      </c>
      <c r="P26" s="235">
        <f t="shared" si="0"/>
        <v>0</v>
      </c>
      <c r="Q26" s="236">
        <f t="shared" si="1"/>
        <v>0</v>
      </c>
      <c r="R26" s="237">
        <f t="shared" si="2"/>
        <v>0</v>
      </c>
      <c r="S26" s="182"/>
    </row>
    <row r="27" spans="2:19" x14ac:dyDescent="0.3">
      <c r="B27" s="183">
        <v>2022</v>
      </c>
      <c r="C27" s="184"/>
      <c r="D27" s="188" t="str">
        <f>IFERROR(VLOOKUP(B27,'Avoided Cap LFE (Addendum T2)'!$AG$12:$AJ$49,2,FALSE),"")</f>
        <v>N+4</v>
      </c>
      <c r="E27" s="184"/>
      <c r="F27" s="244">
        <f>'Capacity Price Forecast'!G16</f>
        <v>67.944399999999987</v>
      </c>
      <c r="G27" s="189">
        <f>IFERROR(VLOOKUP($B27,'Avoided Cap LFE (Addendum T2)'!$AG$12:$AJ$49,4,FALSE),0)</f>
        <v>0</v>
      </c>
      <c r="H27" s="246">
        <f t="shared" si="3"/>
        <v>0</v>
      </c>
      <c r="I27" s="178"/>
      <c r="J27" s="242">
        <f>INDEX('Gross Uncl. DRIPE (Table 145)'!$B$8:$H$25,MATCH('User Selectable Programs'!$B27,'Gross Uncl. DRIPE (Table 145)'!$A$8:$A$25,0),MATCH($F$6,'Gross Uncl. DRIPE (Table 145)'!$B$7:$H$7,0))</f>
        <v>3</v>
      </c>
      <c r="K27" s="227">
        <f>INDEX('Gross Uncl. DRIPE (Table 145)'!$J$8:$O$25,MATCH('User Selectable Programs'!$B27,'Gross Uncl. DRIPE (Table 145)'!$A$8:$A$25,0),MATCH($F$6,'Gross Uncl. DRIPE (Table 145)'!$J$7:$O$7,0))</f>
        <v>120.6</v>
      </c>
      <c r="L27" s="190">
        <f>IFERROR(INDEX('DRIPE LFE (Table 146)'!$D$12:$H$30,MATCH($B27,'DRIPE LFE (Table 146)'!$C$12:$C$30,0),MATCH($F$8,'DRIPE LFE (Table 146)'!$D$10:$H$10,1)),0)</f>
        <v>0</v>
      </c>
      <c r="M27" s="228">
        <f t="shared" si="4"/>
        <v>0</v>
      </c>
      <c r="N27" s="231">
        <f t="shared" si="5"/>
        <v>0</v>
      </c>
      <c r="P27" s="235">
        <f t="shared" si="0"/>
        <v>0</v>
      </c>
      <c r="Q27" s="236">
        <f t="shared" si="1"/>
        <v>0</v>
      </c>
      <c r="R27" s="237">
        <f t="shared" si="2"/>
        <v>0</v>
      </c>
      <c r="S27" s="182"/>
    </row>
    <row r="28" spans="2:19" x14ac:dyDescent="0.3">
      <c r="B28" s="183">
        <v>2023</v>
      </c>
      <c r="C28" s="184"/>
      <c r="D28" s="188" t="str">
        <f>IFERROR(VLOOKUP(B28,'Avoided Cap LFE (Addendum T2)'!$AG$12:$AJ$49,2,FALSE),"")</f>
        <v>N+5</v>
      </c>
      <c r="E28" s="184"/>
      <c r="F28" s="244">
        <f>'Capacity Price Forecast'!G17</f>
        <v>69.30162</v>
      </c>
      <c r="G28" s="189">
        <f>IFERROR(VLOOKUP($B28,'Avoided Cap LFE (Addendum T2)'!$AG$12:$AJ$49,4,FALSE),0)</f>
        <v>0.3</v>
      </c>
      <c r="H28" s="246">
        <f t="shared" si="3"/>
        <v>20.790485999999998</v>
      </c>
      <c r="I28" s="178"/>
      <c r="J28" s="242">
        <f>INDEX('Gross Uncl. DRIPE (Table 145)'!$B$8:$H$25,MATCH('User Selectable Programs'!$B28,'Gross Uncl. DRIPE (Table 145)'!$A$8:$A$25,0),MATCH($F$6,'Gross Uncl. DRIPE (Table 145)'!$B$7:$H$7,0))</f>
        <v>3</v>
      </c>
      <c r="K28" s="227">
        <f>INDEX('Gross Uncl. DRIPE (Table 145)'!$J$8:$O$25,MATCH('User Selectable Programs'!$B28,'Gross Uncl. DRIPE (Table 145)'!$A$8:$A$25,0),MATCH($F$6,'Gross Uncl. DRIPE (Table 145)'!$J$7:$O$7,0))</f>
        <v>121.4</v>
      </c>
      <c r="L28" s="190">
        <f>IFERROR(INDEX('DRIPE LFE (Table 146)'!$D$12:$H$30,MATCH($B28,'DRIPE LFE (Table 146)'!$C$12:$C$30,0),MATCH($F$8,'DRIPE LFE (Table 146)'!$D$10:$H$10,1)),0)</f>
        <v>0.3</v>
      </c>
      <c r="M28" s="228">
        <f t="shared" si="4"/>
        <v>0.89999999999999991</v>
      </c>
      <c r="N28" s="231">
        <f t="shared" si="5"/>
        <v>36.42</v>
      </c>
      <c r="P28" s="235">
        <f t="shared" si="0"/>
        <v>24.638023236326404</v>
      </c>
      <c r="Q28" s="236">
        <f t="shared" si="1"/>
        <v>1.06655616</v>
      </c>
      <c r="R28" s="237">
        <f t="shared" si="2"/>
        <v>43.159972608000011</v>
      </c>
      <c r="S28" s="182"/>
    </row>
    <row r="29" spans="2:19" x14ac:dyDescent="0.3">
      <c r="B29" s="183">
        <v>2024</v>
      </c>
      <c r="C29" s="184"/>
      <c r="D29" s="188" t="str">
        <f>IFERROR(VLOOKUP(B29,'Avoided Cap LFE (Addendum T2)'!$AG$12:$AJ$49,2,FALSE),"")</f>
        <v>N+6</v>
      </c>
      <c r="E29" s="184"/>
      <c r="F29" s="244">
        <f>'Capacity Price Forecast'!G18</f>
        <v>72.079480000000004</v>
      </c>
      <c r="G29" s="189">
        <f>IFERROR(VLOOKUP($B29,'Avoided Cap LFE (Addendum T2)'!$AG$12:$AJ$49,4,FALSE),0)</f>
        <v>0.5</v>
      </c>
      <c r="H29" s="246">
        <f t="shared" si="3"/>
        <v>36.039740000000002</v>
      </c>
      <c r="I29" s="178"/>
      <c r="J29" s="242">
        <f>INDEX('Gross Uncl. DRIPE (Table 145)'!$B$8:$H$25,MATCH('User Selectable Programs'!$B29,'Gross Uncl. DRIPE (Table 145)'!$A$8:$A$25,0),MATCH($F$6,'Gross Uncl. DRIPE (Table 145)'!$B$7:$H$7,0))</f>
        <v>3.1</v>
      </c>
      <c r="K29" s="227">
        <f>INDEX('Gross Uncl. DRIPE (Table 145)'!$J$8:$O$25,MATCH('User Selectable Programs'!$B29,'Gross Uncl. DRIPE (Table 145)'!$A$8:$A$25,0),MATCH($F$6,'Gross Uncl. DRIPE (Table 145)'!$J$7:$O$7,0))</f>
        <v>123.2</v>
      </c>
      <c r="L29" s="190">
        <f>IFERROR(INDEX('DRIPE LFE (Table 146)'!$D$12:$H$30,MATCH($B29,'DRIPE LFE (Table 146)'!$C$12:$C$30,0),MATCH($F$8,'DRIPE LFE (Table 146)'!$D$10:$H$10,1)),0)</f>
        <v>0.45</v>
      </c>
      <c r="M29" s="228">
        <f t="shared" si="4"/>
        <v>1.395</v>
      </c>
      <c r="N29" s="231">
        <f t="shared" si="5"/>
        <v>55.440000000000005</v>
      </c>
      <c r="P29" s="235">
        <f t="shared" si="0"/>
        <v>42.709340779776007</v>
      </c>
      <c r="Q29" s="236">
        <f t="shared" si="1"/>
        <v>1.6531620480000004</v>
      </c>
      <c r="R29" s="237">
        <f t="shared" si="2"/>
        <v>65.699859456000013</v>
      </c>
      <c r="S29" s="182"/>
    </row>
    <row r="30" spans="2:19" x14ac:dyDescent="0.3">
      <c r="B30" s="183">
        <v>2025</v>
      </c>
      <c r="C30" s="184"/>
      <c r="D30" s="188" t="str">
        <f>IFERROR(VLOOKUP(B30,'Avoided Cap LFE (Addendum T2)'!$AG$12:$AJ$49,2,FALSE),"")</f>
        <v>N+7</v>
      </c>
      <c r="E30" s="184"/>
      <c r="F30" s="244">
        <f>'Capacity Price Forecast'!G19</f>
        <v>77.007450000000006</v>
      </c>
      <c r="G30" s="189">
        <f>IFERROR(VLOOKUP($B30,'Avoided Cap LFE (Addendum T2)'!$AG$12:$AJ$49,4,FALSE),0)</f>
        <v>0.7</v>
      </c>
      <c r="H30" s="246">
        <f t="shared" si="3"/>
        <v>53.905214999999998</v>
      </c>
      <c r="I30" s="178"/>
      <c r="J30" s="242">
        <f>INDEX('Gross Uncl. DRIPE (Table 145)'!$B$8:$H$25,MATCH('User Selectable Programs'!$B30,'Gross Uncl. DRIPE (Table 145)'!$A$8:$A$25,0),MATCH($F$6,'Gross Uncl. DRIPE (Table 145)'!$B$7:$H$7,0))</f>
        <v>39.299999999999997</v>
      </c>
      <c r="K30" s="227">
        <f>INDEX('Gross Uncl. DRIPE (Table 145)'!$J$8:$O$25,MATCH('User Selectable Programs'!$B30,'Gross Uncl. DRIPE (Table 145)'!$A$8:$A$25,0),MATCH($F$6,'Gross Uncl. DRIPE (Table 145)'!$J$7:$O$7,0))</f>
        <v>1578.6</v>
      </c>
      <c r="L30" s="190">
        <f>IFERROR(INDEX('DRIPE LFE (Table 146)'!$D$12:$H$30,MATCH($B30,'DRIPE LFE (Table 146)'!$C$12:$C$30,0),MATCH($F$8,'DRIPE LFE (Table 146)'!$D$10:$H$10,1)),0)</f>
        <v>0.56999999999999995</v>
      </c>
      <c r="M30" s="228">
        <f t="shared" si="4"/>
        <v>22.400999999999996</v>
      </c>
      <c r="N30" s="231">
        <f t="shared" si="5"/>
        <v>899.80199999999991</v>
      </c>
      <c r="P30" s="235">
        <f t="shared" si="0"/>
        <v>63.881043460416009</v>
      </c>
      <c r="Q30" s="236">
        <f t="shared" si="1"/>
        <v>26.546582822399998</v>
      </c>
      <c r="R30" s="237">
        <f t="shared" si="2"/>
        <v>1066.3215176448</v>
      </c>
      <c r="S30" s="182"/>
    </row>
    <row r="31" spans="2:19" x14ac:dyDescent="0.3">
      <c r="B31" s="183">
        <v>2026</v>
      </c>
      <c r="C31" s="184"/>
      <c r="D31" s="188" t="str">
        <f>IFERROR(VLOOKUP(B31,'Avoided Cap LFE (Addendum T2)'!$AG$12:$AJ$49,2,FALSE),"")</f>
        <v>N+8</v>
      </c>
      <c r="E31" s="184"/>
      <c r="F31" s="244">
        <f>'Capacity Price Forecast'!G20</f>
        <v>83.186040000000006</v>
      </c>
      <c r="G31" s="189">
        <f>IFERROR(VLOOKUP($B31,'Avoided Cap LFE (Addendum T2)'!$AG$12:$AJ$49,4,FALSE),0)</f>
        <v>0.90000000000000013</v>
      </c>
      <c r="H31" s="246">
        <f t="shared" si="3"/>
        <v>74.867436000000012</v>
      </c>
      <c r="I31" s="178"/>
      <c r="J31" s="242">
        <f>INDEX('Gross Uncl. DRIPE (Table 145)'!$B$8:$H$25,MATCH('User Selectable Programs'!$B31,'Gross Uncl. DRIPE (Table 145)'!$A$8:$A$25,0),MATCH($F$6,'Gross Uncl. DRIPE (Table 145)'!$B$7:$H$7,0))</f>
        <v>42.5</v>
      </c>
      <c r="K31" s="227">
        <f>INDEX('Gross Uncl. DRIPE (Table 145)'!$J$8:$O$25,MATCH('User Selectable Programs'!$B31,'Gross Uncl. DRIPE (Table 145)'!$A$8:$A$25,0),MATCH($F$6,'Gross Uncl. DRIPE (Table 145)'!$J$7:$O$7,0))</f>
        <v>1691.4</v>
      </c>
      <c r="L31" s="190">
        <f>IFERROR(INDEX('DRIPE LFE (Table 146)'!$D$12:$H$30,MATCH($B31,'DRIPE LFE (Table 146)'!$C$12:$C$30,0),MATCH($F$8,'DRIPE LFE (Table 146)'!$D$10:$H$10,1)),0)</f>
        <v>0.65</v>
      </c>
      <c r="M31" s="228">
        <f t="shared" si="4"/>
        <v>27.625</v>
      </c>
      <c r="N31" s="231">
        <f t="shared" si="5"/>
        <v>1099.4100000000001</v>
      </c>
      <c r="P31" s="235">
        <f t="shared" si="0"/>
        <v>88.722583388006427</v>
      </c>
      <c r="Q31" s="236">
        <f t="shared" si="1"/>
        <v>32.737348799999999</v>
      </c>
      <c r="R31" s="237">
        <f t="shared" si="2"/>
        <v>1302.8694531840003</v>
      </c>
      <c r="S31" s="182"/>
    </row>
    <row r="32" spans="2:19" x14ac:dyDescent="0.3">
      <c r="B32" s="183">
        <v>2027</v>
      </c>
      <c r="C32" s="184"/>
      <c r="D32" s="188" t="str">
        <f>IFERROR(VLOOKUP(B32,'Avoided Cap LFE (Addendum T2)'!$AG$12:$AJ$49,2,FALSE),"")</f>
        <v>N+9</v>
      </c>
      <c r="E32" s="184"/>
      <c r="F32" s="244">
        <f>'Capacity Price Forecast'!G21</f>
        <v>89.530249999999995</v>
      </c>
      <c r="G32" s="189">
        <f>IFERROR(VLOOKUP($B32,'Avoided Cap LFE (Addendum T2)'!$AG$12:$AJ$49,4,FALSE),0)</f>
        <v>1</v>
      </c>
      <c r="H32" s="246">
        <f t="shared" si="3"/>
        <v>89.530249999999995</v>
      </c>
      <c r="I32" s="178"/>
      <c r="J32" s="242">
        <f>INDEX('Gross Uncl. DRIPE (Table 145)'!$B$8:$H$25,MATCH('User Selectable Programs'!$B32,'Gross Uncl. DRIPE (Table 145)'!$A$8:$A$25,0),MATCH($F$6,'Gross Uncl. DRIPE (Table 145)'!$B$7:$H$7,0))</f>
        <v>44.9</v>
      </c>
      <c r="K32" s="227">
        <f>INDEX('Gross Uncl. DRIPE (Table 145)'!$J$8:$O$25,MATCH('User Selectable Programs'!$B32,'Gross Uncl. DRIPE (Table 145)'!$A$8:$A$25,0),MATCH($F$6,'Gross Uncl. DRIPE (Table 145)'!$J$7:$O$7,0))</f>
        <v>1787.2</v>
      </c>
      <c r="L32" s="190">
        <f>IFERROR(INDEX('DRIPE LFE (Table 146)'!$D$12:$H$30,MATCH($B32,'DRIPE LFE (Table 146)'!$C$12:$C$30,0),MATCH($F$8,'DRIPE LFE (Table 146)'!$D$10:$H$10,1)),0)</f>
        <v>0.6</v>
      </c>
      <c r="M32" s="228">
        <f t="shared" si="4"/>
        <v>26.939999999999998</v>
      </c>
      <c r="N32" s="231">
        <f t="shared" si="5"/>
        <v>1072.32</v>
      </c>
      <c r="P32" s="235">
        <f t="shared" si="0"/>
        <v>106.09893293760001</v>
      </c>
      <c r="Q32" s="236">
        <f t="shared" si="1"/>
        <v>31.925581056000002</v>
      </c>
      <c r="R32" s="237">
        <f t="shared" si="2"/>
        <v>1270.7661127680003</v>
      </c>
      <c r="S32" s="182"/>
    </row>
    <row r="33" spans="2:19" x14ac:dyDescent="0.3">
      <c r="B33" s="183">
        <v>2028</v>
      </c>
      <c r="C33" s="184"/>
      <c r="D33" s="188" t="str">
        <f>IFERROR(VLOOKUP(B33,'Avoided Cap LFE (Addendum T2)'!$AG$12:$AJ$49,2,FALSE),"")</f>
        <v>N+10</v>
      </c>
      <c r="E33" s="184"/>
      <c r="F33" s="244">
        <f>'Capacity Price Forecast'!G22</f>
        <v>94.781010000000009</v>
      </c>
      <c r="G33" s="189">
        <f>IFERROR(VLOOKUP($B33,'Avoided Cap LFE (Addendum T2)'!$AG$12:$AJ$49,4,FALSE),0)</f>
        <v>1</v>
      </c>
      <c r="H33" s="246">
        <f t="shared" si="3"/>
        <v>94.781010000000009</v>
      </c>
      <c r="I33" s="178"/>
      <c r="J33" s="242">
        <f>INDEX('Gross Uncl. DRIPE (Table 145)'!$B$8:$H$25,MATCH('User Selectable Programs'!$B33,'Gross Uncl. DRIPE (Table 145)'!$A$8:$A$25,0),MATCH($F$6,'Gross Uncl. DRIPE (Table 145)'!$B$7:$H$7,0))</f>
        <v>47.2</v>
      </c>
      <c r="K33" s="227">
        <f>INDEX('Gross Uncl. DRIPE (Table 145)'!$J$8:$O$25,MATCH('User Selectable Programs'!$B33,'Gross Uncl. DRIPE (Table 145)'!$A$8:$A$25,0),MATCH($F$6,'Gross Uncl. DRIPE (Table 145)'!$J$7:$O$7,0))</f>
        <v>1881.2</v>
      </c>
      <c r="L33" s="190">
        <f>IFERROR(INDEX('DRIPE LFE (Table 146)'!$D$12:$H$30,MATCH($B33,'DRIPE LFE (Table 146)'!$C$12:$C$30,0),MATCH($F$8,'DRIPE LFE (Table 146)'!$D$10:$H$10,1)),0)</f>
        <v>0.43</v>
      </c>
      <c r="M33" s="228">
        <f t="shared" si="4"/>
        <v>20.295999999999999</v>
      </c>
      <c r="N33" s="231">
        <f t="shared" si="5"/>
        <v>808.91600000000005</v>
      </c>
      <c r="P33" s="235">
        <f t="shared" si="0"/>
        <v>112.32141118502403</v>
      </c>
      <c r="Q33" s="236">
        <f t="shared" si="1"/>
        <v>24.052026470400001</v>
      </c>
      <c r="R33" s="237">
        <f t="shared" si="2"/>
        <v>958.61593635840029</v>
      </c>
      <c r="S33" s="182"/>
    </row>
    <row r="34" spans="2:19" x14ac:dyDescent="0.3">
      <c r="B34" s="183">
        <v>2029</v>
      </c>
      <c r="C34" s="184"/>
      <c r="D34" s="188" t="str">
        <f>IFERROR(VLOOKUP(B34,'Avoided Cap LFE (Addendum T2)'!$AG$12:$AJ$49,2,FALSE),"")</f>
        <v>N+11</v>
      </c>
      <c r="E34" s="184"/>
      <c r="F34" s="244">
        <f>'Capacity Price Forecast'!G23</f>
        <v>100.99697999999999</v>
      </c>
      <c r="G34" s="189">
        <f>IFERROR(VLOOKUP($B34,'Avoided Cap LFE (Addendum T2)'!$AG$12:$AJ$49,4,FALSE),0)</f>
        <v>1</v>
      </c>
      <c r="H34" s="246">
        <f t="shared" si="3"/>
        <v>100.99697999999999</v>
      </c>
      <c r="I34" s="178"/>
      <c r="J34" s="242">
        <f>INDEX('Gross Uncl. DRIPE (Table 145)'!$B$8:$H$25,MATCH('User Selectable Programs'!$B34,'Gross Uncl. DRIPE (Table 145)'!$A$8:$A$25,0),MATCH($F$6,'Gross Uncl. DRIPE (Table 145)'!$B$7:$H$7,0))</f>
        <v>50.3</v>
      </c>
      <c r="K34" s="227">
        <f>INDEX('Gross Uncl. DRIPE (Table 145)'!$J$8:$O$25,MATCH('User Selectable Programs'!$B34,'Gross Uncl. DRIPE (Table 145)'!$A$8:$A$25,0),MATCH($F$6,'Gross Uncl. DRIPE (Table 145)'!$J$7:$O$7,0))</f>
        <v>2004.8</v>
      </c>
      <c r="L34" s="190">
        <f>IFERROR(INDEX('DRIPE LFE (Table 146)'!$D$12:$H$30,MATCH($B34,'DRIPE LFE (Table 146)'!$C$12:$C$30,0),MATCH($F$8,'DRIPE LFE (Table 146)'!$D$10:$H$10,1)),0)</f>
        <v>0.27</v>
      </c>
      <c r="M34" s="228">
        <f t="shared" si="4"/>
        <v>13.581</v>
      </c>
      <c r="N34" s="231">
        <f t="shared" si="5"/>
        <v>541.29600000000005</v>
      </c>
      <c r="P34" s="235">
        <f t="shared" si="0"/>
        <v>119.68772351155201</v>
      </c>
      <c r="Q34" s="236">
        <f t="shared" si="1"/>
        <v>16.094332454400003</v>
      </c>
      <c r="R34" s="237">
        <f t="shared" si="2"/>
        <v>641.46953687040013</v>
      </c>
      <c r="S34" s="182"/>
    </row>
    <row r="35" spans="2:19" x14ac:dyDescent="0.3">
      <c r="B35" s="183">
        <v>2030</v>
      </c>
      <c r="C35" s="184"/>
      <c r="D35" s="188" t="str">
        <f>IFERROR(VLOOKUP(B35,'Avoided Cap LFE (Addendum T2)'!$AG$12:$AJ$49,2,FALSE),"")</f>
        <v>N+12</v>
      </c>
      <c r="E35" s="184"/>
      <c r="F35" s="244">
        <f>'Capacity Price Forecast'!G24</f>
        <v>97.743500000000012</v>
      </c>
      <c r="G35" s="189">
        <f>IFERROR(VLOOKUP($B35,'Avoided Cap LFE (Addendum T2)'!$AG$12:$AJ$49,4,FALSE),0)</f>
        <v>1</v>
      </c>
      <c r="H35" s="246">
        <f t="shared" si="3"/>
        <v>97.743500000000012</v>
      </c>
      <c r="I35" s="178"/>
      <c r="J35" s="242">
        <f>INDEX('Gross Uncl. DRIPE (Table 145)'!$B$8:$H$25,MATCH('User Selectable Programs'!$B35,'Gross Uncl. DRIPE (Table 145)'!$A$8:$A$25,0),MATCH($F$6,'Gross Uncl. DRIPE (Table 145)'!$B$7:$H$7,0))</f>
        <v>44.9</v>
      </c>
      <c r="K35" s="227">
        <f>INDEX('Gross Uncl. DRIPE (Table 145)'!$J$8:$O$25,MATCH('User Selectable Programs'!$B35,'Gross Uncl. DRIPE (Table 145)'!$A$8:$A$25,0),MATCH($F$6,'Gross Uncl. DRIPE (Table 145)'!$J$7:$O$7,0))</f>
        <v>1787.2</v>
      </c>
      <c r="L35" s="190">
        <f>IFERROR(INDEX('DRIPE LFE (Table 146)'!$D$12:$H$30,MATCH($B35,'DRIPE LFE (Table 146)'!$C$12:$C$30,0),MATCH($F$8,'DRIPE LFE (Table 146)'!$D$10:$H$10,1)),0)</f>
        <v>0.15</v>
      </c>
      <c r="M35" s="228">
        <f t="shared" si="4"/>
        <v>6.7349999999999994</v>
      </c>
      <c r="N35" s="231">
        <f t="shared" si="5"/>
        <v>268.08</v>
      </c>
      <c r="P35" s="235">
        <f t="shared" si="0"/>
        <v>115.83214669440004</v>
      </c>
      <c r="Q35" s="236">
        <f t="shared" si="1"/>
        <v>7.9813952640000005</v>
      </c>
      <c r="R35" s="237">
        <f t="shared" si="2"/>
        <v>317.69152819200008</v>
      </c>
      <c r="S35" s="182"/>
    </row>
    <row r="36" spans="2:19" x14ac:dyDescent="0.3">
      <c r="B36" s="183">
        <v>2031</v>
      </c>
      <c r="C36" s="184"/>
      <c r="D36" s="188" t="str">
        <f>IFERROR(VLOOKUP(B36,'Avoided Cap LFE (Addendum T2)'!$AG$12:$AJ$49,2,FALSE),"")</f>
        <v>N+13</v>
      </c>
      <c r="E36" s="184"/>
      <c r="F36" s="244">
        <f>'Capacity Price Forecast'!G25</f>
        <v>94.781010000000009</v>
      </c>
      <c r="G36" s="189">
        <f>IFERROR(VLOOKUP($B36,'Avoided Cap LFE (Addendum T2)'!$AG$12:$AJ$49,4,FALSE),0)</f>
        <v>1</v>
      </c>
      <c r="H36" s="246">
        <f t="shared" si="3"/>
        <v>94.781010000000009</v>
      </c>
      <c r="I36" s="178"/>
      <c r="J36" s="242">
        <f>INDEX('Gross Uncl. DRIPE (Table 145)'!$B$8:$H$25,MATCH('User Selectable Programs'!$B36,'Gross Uncl. DRIPE (Table 145)'!$A$8:$A$25,0),MATCH($F$6,'Gross Uncl. DRIPE (Table 145)'!$B$7:$H$7,0))</f>
        <v>47.2</v>
      </c>
      <c r="K36" s="227">
        <f>INDEX('Gross Uncl. DRIPE (Table 145)'!$J$8:$O$25,MATCH('User Selectable Programs'!$B36,'Gross Uncl. DRIPE (Table 145)'!$A$8:$A$25,0),MATCH($F$6,'Gross Uncl. DRIPE (Table 145)'!$J$7:$O$7,0))</f>
        <v>1881.2</v>
      </c>
      <c r="L36" s="190">
        <f>IFERROR(INDEX('DRIPE LFE (Table 146)'!$D$12:$H$30,MATCH($B36,'DRIPE LFE (Table 146)'!$C$12:$C$30,0),MATCH($F$8,'DRIPE LFE (Table 146)'!$D$10:$H$10,1)),0)</f>
        <v>7.0000000000000007E-2</v>
      </c>
      <c r="M36" s="228">
        <f t="shared" si="4"/>
        <v>3.3040000000000007</v>
      </c>
      <c r="N36" s="231">
        <f t="shared" si="5"/>
        <v>131.68400000000003</v>
      </c>
      <c r="P36" s="235">
        <f t="shared" si="0"/>
        <v>112.32141118502403</v>
      </c>
      <c r="Q36" s="236">
        <f t="shared" si="1"/>
        <v>3.9154461696000009</v>
      </c>
      <c r="R36" s="237">
        <f t="shared" si="2"/>
        <v>156.05375708160008</v>
      </c>
      <c r="S36" s="182"/>
    </row>
    <row r="37" spans="2:19" x14ac:dyDescent="0.3">
      <c r="B37" s="183">
        <v>2032</v>
      </c>
      <c r="C37" s="184"/>
      <c r="D37" s="188" t="str">
        <f>IFERROR(VLOOKUP(B37,'Avoided Cap LFE (Addendum T2)'!$AG$12:$AJ$49,2,FALSE),"")</f>
        <v>N+14</v>
      </c>
      <c r="E37" s="184"/>
      <c r="F37" s="244">
        <f>'Capacity Price Forecast'!G26</f>
        <v>100.99697999999999</v>
      </c>
      <c r="G37" s="189">
        <f>IFERROR(VLOOKUP($B37,'Avoided Cap LFE (Addendum T2)'!$AG$12:$AJ$49,4,FALSE),0)</f>
        <v>1</v>
      </c>
      <c r="H37" s="246">
        <f t="shared" si="3"/>
        <v>100.99697999999999</v>
      </c>
      <c r="I37" s="178"/>
      <c r="J37" s="242">
        <f>INDEX('Gross Uncl. DRIPE (Table 145)'!$B$8:$H$25,MATCH('User Selectable Programs'!$B37,'Gross Uncl. DRIPE (Table 145)'!$A$8:$A$25,0),MATCH($F$6,'Gross Uncl. DRIPE (Table 145)'!$B$7:$H$7,0))</f>
        <v>50.3</v>
      </c>
      <c r="K37" s="227">
        <f>INDEX('Gross Uncl. DRIPE (Table 145)'!$J$8:$O$25,MATCH('User Selectable Programs'!$B37,'Gross Uncl. DRIPE (Table 145)'!$A$8:$A$25,0),MATCH($F$6,'Gross Uncl. DRIPE (Table 145)'!$J$7:$O$7,0))</f>
        <v>2004.8</v>
      </c>
      <c r="L37" s="190">
        <f>IFERROR(INDEX('DRIPE LFE (Table 146)'!$D$12:$H$30,MATCH($B37,'DRIPE LFE (Table 146)'!$C$12:$C$30,0),MATCH($F$8,'DRIPE LFE (Table 146)'!$D$10:$H$10,1)),0)</f>
        <v>0.02</v>
      </c>
      <c r="M37" s="228">
        <f t="shared" si="4"/>
        <v>1.006</v>
      </c>
      <c r="N37" s="231">
        <f t="shared" si="5"/>
        <v>40.095999999999997</v>
      </c>
      <c r="P37" s="235">
        <f t="shared" si="0"/>
        <v>119.68772351155201</v>
      </c>
      <c r="Q37" s="236">
        <f t="shared" si="1"/>
        <v>1.1921727744000001</v>
      </c>
      <c r="R37" s="237">
        <f t="shared" si="2"/>
        <v>47.516261990400004</v>
      </c>
      <c r="S37" s="182"/>
    </row>
    <row r="38" spans="2:19" x14ac:dyDescent="0.3">
      <c r="B38" s="183">
        <v>2033</v>
      </c>
      <c r="C38" s="184"/>
      <c r="D38" s="188" t="str">
        <f>IFERROR(VLOOKUP(B38,'Avoided Cap LFE (Addendum T2)'!$AG$12:$AJ$49,2,FALSE),"")</f>
        <v>N+15</v>
      </c>
      <c r="E38" s="184"/>
      <c r="F38" s="244">
        <f>'Capacity Price Forecast'!G27</f>
        <v>97.743500000000012</v>
      </c>
      <c r="G38" s="189">
        <f>IFERROR(VLOOKUP($B38,'Avoided Cap LFE (Addendum T2)'!$AG$12:$AJ$49,4,FALSE),0)</f>
        <v>1</v>
      </c>
      <c r="H38" s="246">
        <f t="shared" si="3"/>
        <v>97.743500000000012</v>
      </c>
      <c r="I38" s="178"/>
      <c r="J38" s="242">
        <f>INDEX('Gross Uncl. DRIPE (Table 145)'!$B$8:$H$25,MATCH('User Selectable Programs'!$B38,'Gross Uncl. DRIPE (Table 145)'!$A$8:$A$25,0),MATCH($F$6,'Gross Uncl. DRIPE (Table 145)'!$B$7:$H$7,0))</f>
        <v>44.9</v>
      </c>
      <c r="K38" s="227">
        <f>INDEX('Gross Uncl. DRIPE (Table 145)'!$J$8:$O$25,MATCH('User Selectable Programs'!$B38,'Gross Uncl. DRIPE (Table 145)'!$A$8:$A$25,0),MATCH($F$6,'Gross Uncl. DRIPE (Table 145)'!$J$7:$O$7,0))</f>
        <v>1787.2</v>
      </c>
      <c r="L38" s="190">
        <f>IFERROR(INDEX('DRIPE LFE (Table 146)'!$D$12:$H$30,MATCH($B38,'DRIPE LFE (Table 146)'!$C$12:$C$30,0),MATCH($F$8,'DRIPE LFE (Table 146)'!$D$10:$H$10,1)),0)</f>
        <v>0</v>
      </c>
      <c r="M38" s="228">
        <f t="shared" si="4"/>
        <v>0</v>
      </c>
      <c r="N38" s="231">
        <f t="shared" si="5"/>
        <v>0</v>
      </c>
      <c r="P38" s="235">
        <f t="shared" si="0"/>
        <v>115.83214669440004</v>
      </c>
      <c r="Q38" s="236">
        <f t="shared" si="1"/>
        <v>0</v>
      </c>
      <c r="R38" s="237">
        <f t="shared" si="2"/>
        <v>0</v>
      </c>
      <c r="S38" s="182"/>
    </row>
    <row r="39" spans="2:19" x14ac:dyDescent="0.3">
      <c r="B39" s="183">
        <v>2034</v>
      </c>
      <c r="C39" s="184"/>
      <c r="D39" s="188" t="str">
        <f>IFERROR(VLOOKUP(B39,'Avoided Cap LFE (Addendum T2)'!$AG$12:$AJ$49,2,FALSE),"")</f>
        <v>N+16</v>
      </c>
      <c r="E39" s="184"/>
      <c r="F39" s="244">
        <f>'Capacity Price Forecast'!G28</f>
        <v>94.781010000000009</v>
      </c>
      <c r="G39" s="189">
        <f>IFERROR(VLOOKUP($B39,'Avoided Cap LFE (Addendum T2)'!$AG$12:$AJ$49,4,FALSE),0)</f>
        <v>1</v>
      </c>
      <c r="H39" s="246">
        <f t="shared" si="3"/>
        <v>94.781010000000009</v>
      </c>
      <c r="I39" s="178"/>
      <c r="J39" s="242">
        <f>INDEX('Gross Uncl. DRIPE (Table 145)'!$B$8:$H$25,MATCH('User Selectable Programs'!$B39,'Gross Uncl. DRIPE (Table 145)'!$A$8:$A$25,0),MATCH($F$6,'Gross Uncl. DRIPE (Table 145)'!$B$7:$H$7,0))</f>
        <v>47.2</v>
      </c>
      <c r="K39" s="227">
        <f>INDEX('Gross Uncl. DRIPE (Table 145)'!$J$8:$O$25,MATCH('User Selectable Programs'!$B39,'Gross Uncl. DRIPE (Table 145)'!$A$8:$A$25,0),MATCH($F$6,'Gross Uncl. DRIPE (Table 145)'!$J$7:$O$7,0))</f>
        <v>1881.2</v>
      </c>
      <c r="L39" s="190">
        <f>IFERROR(INDEX('DRIPE LFE (Table 146)'!$D$12:$H$30,MATCH($B39,'DRIPE LFE (Table 146)'!$C$12:$C$30,0),MATCH($F$8,'DRIPE LFE (Table 146)'!$D$10:$H$10,1)),0)</f>
        <v>0</v>
      </c>
      <c r="M39" s="228">
        <f t="shared" si="4"/>
        <v>0</v>
      </c>
      <c r="N39" s="231">
        <f t="shared" si="5"/>
        <v>0</v>
      </c>
      <c r="P39" s="235">
        <f t="shared" si="0"/>
        <v>112.32141118502403</v>
      </c>
      <c r="Q39" s="236">
        <f t="shared" si="1"/>
        <v>0</v>
      </c>
      <c r="R39" s="237">
        <f t="shared" si="2"/>
        <v>0</v>
      </c>
      <c r="S39" s="182"/>
    </row>
    <row r="40" spans="2:19" x14ac:dyDescent="0.3">
      <c r="B40" s="183">
        <v>2035</v>
      </c>
      <c r="C40" s="184"/>
      <c r="D40" s="188" t="str">
        <f>IFERROR(VLOOKUP(B40,'Avoided Cap LFE (Addendum T2)'!$AG$12:$AJ$49,2,FALSE),"")</f>
        <v>N+17</v>
      </c>
      <c r="E40" s="184"/>
      <c r="F40" s="244">
        <f>'Capacity Price Forecast'!G29</f>
        <v>100.99697999999999</v>
      </c>
      <c r="G40" s="189">
        <f>IFERROR(VLOOKUP($B40,'Avoided Cap LFE (Addendum T2)'!$AG$12:$AJ$49,4,FALSE),0)</f>
        <v>1</v>
      </c>
      <c r="H40" s="246">
        <f t="shared" si="3"/>
        <v>100.99697999999999</v>
      </c>
      <c r="I40" s="178"/>
      <c r="J40" s="242">
        <f>INDEX('Gross Uncl. DRIPE (Table 145)'!$B$8:$H$25,MATCH('User Selectable Programs'!$B40,'Gross Uncl. DRIPE (Table 145)'!$A$8:$A$25,0),MATCH($F$6,'Gross Uncl. DRIPE (Table 145)'!$B$7:$H$7,0))</f>
        <v>50.3</v>
      </c>
      <c r="K40" s="227">
        <f>INDEX('Gross Uncl. DRIPE (Table 145)'!$J$8:$O$25,MATCH('User Selectable Programs'!$B40,'Gross Uncl. DRIPE (Table 145)'!$A$8:$A$25,0),MATCH($F$6,'Gross Uncl. DRIPE (Table 145)'!$J$7:$O$7,0))</f>
        <v>2004.8</v>
      </c>
      <c r="L40" s="190">
        <f>IFERROR(INDEX('DRIPE LFE (Table 146)'!$D$12:$H$30,MATCH($B40,'DRIPE LFE (Table 146)'!$C$12:$C$30,0),MATCH($F$8,'DRIPE LFE (Table 146)'!$D$10:$H$10,1)),0)</f>
        <v>0</v>
      </c>
      <c r="M40" s="228">
        <f t="shared" si="4"/>
        <v>0</v>
      </c>
      <c r="N40" s="231">
        <f t="shared" si="5"/>
        <v>0</v>
      </c>
      <c r="P40" s="235">
        <f t="shared" si="0"/>
        <v>119.68772351155201</v>
      </c>
      <c r="Q40" s="236">
        <f t="shared" si="1"/>
        <v>0</v>
      </c>
      <c r="R40" s="237">
        <f t="shared" si="2"/>
        <v>0</v>
      </c>
      <c r="S40" s="163"/>
    </row>
    <row r="41" spans="2:19" x14ac:dyDescent="0.3">
      <c r="B41" s="183">
        <v>2036</v>
      </c>
      <c r="C41" s="184"/>
      <c r="D41" s="188" t="str">
        <f>IFERROR(VLOOKUP(B41,'Avoided Cap LFE (Addendum T2)'!$AG$12:$AJ$49,2,FALSE),"")</f>
        <v>N+18</v>
      </c>
      <c r="E41" s="184"/>
      <c r="F41" s="244">
        <f>'Capacity Price Forecast'!G30</f>
        <v>102.6143939131057</v>
      </c>
      <c r="G41" s="189">
        <f>IFERROR(VLOOKUP($B41,'Avoided Cap LFE (Addendum T2)'!$AG$12:$AJ$49,4,FALSE),0)</f>
        <v>1</v>
      </c>
      <c r="H41" s="246">
        <f t="shared" si="3"/>
        <v>102.6143939131057</v>
      </c>
      <c r="I41" s="178"/>
      <c r="J41" s="209"/>
      <c r="K41" s="210"/>
      <c r="L41" s="211"/>
      <c r="M41" s="212"/>
      <c r="N41" s="213"/>
      <c r="P41" s="235">
        <f t="shared" si="0"/>
        <v>121.60445992521046</v>
      </c>
      <c r="Q41" s="236">
        <f t="shared" si="1"/>
        <v>0</v>
      </c>
      <c r="R41" s="237">
        <f t="shared" si="2"/>
        <v>0</v>
      </c>
      <c r="S41" s="163"/>
    </row>
    <row r="42" spans="2:19" x14ac:dyDescent="0.3">
      <c r="B42" s="183">
        <v>2037</v>
      </c>
      <c r="C42" s="184"/>
      <c r="D42" s="188" t="str">
        <f>IFERROR(VLOOKUP(B42,'Avoided Cap LFE (Addendum T2)'!$AG$12:$AJ$49,2,FALSE),"")</f>
        <v>N+19</v>
      </c>
      <c r="E42" s="184"/>
      <c r="F42" s="244">
        <f>'Capacity Price Forecast'!G31</f>
        <v>104.25800841378164</v>
      </c>
      <c r="G42" s="189">
        <f>IFERROR(VLOOKUP($B42,'Avoided Cap LFE (Addendum T2)'!$AG$12:$AJ$49,4,FALSE),0)</f>
        <v>1</v>
      </c>
      <c r="H42" s="246">
        <f t="shared" si="3"/>
        <v>104.25800841378164</v>
      </c>
      <c r="I42" s="178"/>
      <c r="J42" s="209"/>
      <c r="K42" s="210"/>
      <c r="L42" s="211"/>
      <c r="M42" s="212"/>
      <c r="N42" s="213"/>
      <c r="P42" s="235">
        <f t="shared" si="0"/>
        <v>123.55224567005629</v>
      </c>
      <c r="Q42" s="236">
        <f t="shared" si="1"/>
        <v>0</v>
      </c>
      <c r="R42" s="237">
        <f t="shared" si="2"/>
        <v>0</v>
      </c>
      <c r="S42" s="163"/>
    </row>
    <row r="43" spans="2:19" x14ac:dyDescent="0.3">
      <c r="B43" s="183">
        <v>2038</v>
      </c>
      <c r="C43" s="184"/>
      <c r="D43" s="188" t="str">
        <f>IFERROR(VLOOKUP(B43,'Avoided Cap LFE (Addendum T2)'!$AG$12:$AJ$49,2,FALSE),"")</f>
        <v>N+20</v>
      </c>
      <c r="E43" s="184"/>
      <c r="F43" s="244">
        <f>'Capacity Price Forecast'!G32</f>
        <v>105.92825150571835</v>
      </c>
      <c r="G43" s="189">
        <f>IFERROR(VLOOKUP($B43,'Avoided Cap LFE (Addendum T2)'!$AG$12:$AJ$49,4,FALSE),0)</f>
        <v>1</v>
      </c>
      <c r="H43" s="246">
        <f t="shared" si="3"/>
        <v>105.92825150571835</v>
      </c>
      <c r="I43" s="178"/>
      <c r="J43" s="209"/>
      <c r="K43" s="210"/>
      <c r="L43" s="211"/>
      <c r="M43" s="212"/>
      <c r="N43" s="213"/>
      <c r="P43" s="235">
        <f t="shared" si="0"/>
        <v>125.53158795717022</v>
      </c>
      <c r="Q43" s="236">
        <f t="shared" si="1"/>
        <v>0</v>
      </c>
      <c r="R43" s="237">
        <f t="shared" si="2"/>
        <v>0</v>
      </c>
      <c r="S43" s="163"/>
    </row>
    <row r="44" spans="2:19" x14ac:dyDescent="0.3">
      <c r="B44" s="183">
        <v>2039</v>
      </c>
      <c r="C44" s="184"/>
      <c r="D44" s="188" t="str">
        <f>IFERROR(VLOOKUP(B44,'Avoided Cap LFE (Addendum T2)'!$AG$12:$AJ$49,2,FALSE),"")</f>
        <v>N+21</v>
      </c>
      <c r="E44" s="184"/>
      <c r="F44" s="244">
        <f>'Capacity Price Forecast'!G33</f>
        <v>107.62555822673644</v>
      </c>
      <c r="G44" s="189">
        <f>IFERROR(VLOOKUP($B44,'Avoided Cap LFE (Addendum T2)'!$AG$12:$AJ$49,4,FALSE),0)</f>
        <v>1</v>
      </c>
      <c r="H44" s="246">
        <f t="shared" si="3"/>
        <v>107.62555822673644</v>
      </c>
      <c r="I44" s="178"/>
      <c r="J44" s="209"/>
      <c r="K44" s="210"/>
      <c r="L44" s="211"/>
      <c r="M44" s="212"/>
      <c r="N44" s="213"/>
      <c r="P44" s="235">
        <f t="shared" si="0"/>
        <v>127.54300233351606</v>
      </c>
      <c r="Q44" s="236">
        <f t="shared" si="1"/>
        <v>0</v>
      </c>
      <c r="R44" s="237">
        <f t="shared" si="2"/>
        <v>0</v>
      </c>
      <c r="S44" s="163"/>
    </row>
    <row r="45" spans="2:19" x14ac:dyDescent="0.3">
      <c r="B45" s="183">
        <v>2040</v>
      </c>
      <c r="C45" s="184"/>
      <c r="D45" s="188" t="str">
        <f>IFERROR(VLOOKUP(B45,'Avoided Cap LFE (Addendum T2)'!$AG$12:$AJ$49,2,FALSE),"")</f>
        <v>N+22</v>
      </c>
      <c r="E45" s="184"/>
      <c r="F45" s="244">
        <f>'Capacity Price Forecast'!G34</f>
        <v>109.35037076488896</v>
      </c>
      <c r="G45" s="189">
        <f>IFERROR(VLOOKUP($B45,'Avoided Cap LFE (Addendum T2)'!$AG$12:$AJ$49,4,FALSE),0)</f>
        <v>1</v>
      </c>
      <c r="H45" s="246">
        <f t="shared" si="3"/>
        <v>109.35037076488896</v>
      </c>
      <c r="I45" s="178"/>
      <c r="J45" s="209"/>
      <c r="K45" s="210"/>
      <c r="L45" s="211"/>
      <c r="M45" s="212"/>
      <c r="N45" s="213"/>
      <c r="P45" s="235">
        <f t="shared" si="0"/>
        <v>129.58701281952918</v>
      </c>
      <c r="Q45" s="236">
        <f t="shared" si="1"/>
        <v>0</v>
      </c>
      <c r="R45" s="237">
        <f t="shared" si="2"/>
        <v>0</v>
      </c>
      <c r="S45" s="163"/>
    </row>
    <row r="46" spans="2:19" x14ac:dyDescent="0.3">
      <c r="B46" s="183">
        <v>2041</v>
      </c>
      <c r="C46" s="184"/>
      <c r="D46" s="188" t="str">
        <f>IFERROR(VLOOKUP(B46,'Avoided Cap LFE (Addendum T2)'!$AG$12:$AJ$49,2,FALSE),"")</f>
        <v>N+23</v>
      </c>
      <c r="E46" s="184"/>
      <c r="F46" s="244">
        <f>'Capacity Price Forecast'!G35</f>
        <v>111.10313857648622</v>
      </c>
      <c r="G46" s="189">
        <f>IFERROR(VLOOKUP($B46,'Avoided Cap LFE (Addendum T2)'!$AG$12:$AJ$49,4,FALSE),0)</f>
        <v>1</v>
      </c>
      <c r="H46" s="246">
        <f t="shared" si="3"/>
        <v>111.10313857648622</v>
      </c>
      <c r="I46" s="178"/>
      <c r="J46" s="209"/>
      <c r="K46" s="210"/>
      <c r="L46" s="211"/>
      <c r="M46" s="212"/>
      <c r="N46" s="213"/>
      <c r="P46" s="235">
        <f t="shared" si="0"/>
        <v>131.66415204898337</v>
      </c>
      <c r="Q46" s="236">
        <f t="shared" si="1"/>
        <v>0</v>
      </c>
      <c r="R46" s="237">
        <f t="shared" si="2"/>
        <v>0</v>
      </c>
      <c r="S46" s="163"/>
    </row>
    <row r="47" spans="2:19" x14ac:dyDescent="0.3">
      <c r="B47" s="183">
        <v>2042</v>
      </c>
      <c r="C47" s="184"/>
      <c r="D47" s="188" t="str">
        <f>IFERROR(VLOOKUP(B47,'Avoided Cap LFE (Addendum T2)'!$AG$12:$AJ$49,2,FALSE),"")</f>
        <v>N+24</v>
      </c>
      <c r="E47" s="184"/>
      <c r="F47" s="244">
        <f>'Capacity Price Forecast'!G36</f>
        <v>112.88431850607438</v>
      </c>
      <c r="G47" s="189">
        <f>IFERROR(VLOOKUP($B47,'Avoided Cap LFE (Addendum T2)'!$AG$12:$AJ$49,4,FALSE),0)</f>
        <v>1</v>
      </c>
      <c r="H47" s="246">
        <f t="shared" si="3"/>
        <v>112.88431850607438</v>
      </c>
      <c r="I47" s="178"/>
      <c r="J47" s="209"/>
      <c r="K47" s="210"/>
      <c r="L47" s="211"/>
      <c r="M47" s="212"/>
      <c r="N47" s="213"/>
      <c r="P47" s="235">
        <f t="shared" si="0"/>
        <v>133.77496141117294</v>
      </c>
      <c r="Q47" s="236">
        <f t="shared" si="1"/>
        <v>0</v>
      </c>
      <c r="R47" s="237">
        <f t="shared" si="2"/>
        <v>0</v>
      </c>
      <c r="S47" s="163"/>
    </row>
    <row r="48" spans="2:19" x14ac:dyDescent="0.3">
      <c r="B48" s="183">
        <v>2043</v>
      </c>
      <c r="C48" s="184"/>
      <c r="D48" s="188" t="str">
        <f>IFERROR(VLOOKUP(B48,'Avoided Cap LFE (Addendum T2)'!$AG$12:$AJ$49,2,FALSE),"")</f>
        <v>N+25</v>
      </c>
      <c r="E48" s="184"/>
      <c r="F48" s="244">
        <f>'Capacity Price Forecast'!G37</f>
        <v>114.69437490840069</v>
      </c>
      <c r="G48" s="189">
        <f>IFERROR(VLOOKUP($B48,'Avoided Cap LFE (Addendum T2)'!$AG$12:$AJ$49,4,FALSE),0)</f>
        <v>1</v>
      </c>
      <c r="H48" s="246">
        <f t="shared" si="3"/>
        <v>114.69437490840069</v>
      </c>
      <c r="I48" s="178"/>
      <c r="J48" s="209"/>
      <c r="K48" s="210"/>
      <c r="L48" s="211"/>
      <c r="M48" s="212"/>
      <c r="N48" s="213"/>
      <c r="P48" s="235">
        <f t="shared" si="0"/>
        <v>135.91999119544911</v>
      </c>
      <c r="Q48" s="236">
        <f t="shared" si="1"/>
        <v>0</v>
      </c>
      <c r="R48" s="237">
        <f t="shared" si="2"/>
        <v>0</v>
      </c>
      <c r="S48" s="163"/>
    </row>
    <row r="49" spans="2:19" x14ac:dyDescent="0.3">
      <c r="B49" s="183">
        <v>2044</v>
      </c>
      <c r="C49" s="184"/>
      <c r="D49" s="188" t="str">
        <f>IFERROR(VLOOKUP(B49,'Avoided Cap LFE (Addendum T2)'!$AG$12:$AJ$49,2,FALSE),"")</f>
        <v>N+26</v>
      </c>
      <c r="E49" s="184"/>
      <c r="F49" s="244">
        <f>'Capacity Price Forecast'!G38</f>
        <v>116.53377977239813</v>
      </c>
      <c r="G49" s="189">
        <f>IFERROR(VLOOKUP($B49,'Avoided Cap LFE (Addendum T2)'!$AG$12:$AJ$49,4,FALSE),0)</f>
        <v>1</v>
      </c>
      <c r="H49" s="246">
        <f t="shared" si="3"/>
        <v>116.53377977239813</v>
      </c>
      <c r="I49" s="178"/>
      <c r="J49" s="209"/>
      <c r="K49" s="210"/>
      <c r="L49" s="211"/>
      <c r="M49" s="212"/>
      <c r="N49" s="213"/>
      <c r="P49" s="235">
        <f t="shared" si="0"/>
        <v>138.09980073814961</v>
      </c>
      <c r="Q49" s="236">
        <f t="shared" si="1"/>
        <v>0</v>
      </c>
      <c r="R49" s="237">
        <f t="shared" si="2"/>
        <v>0</v>
      </c>
      <c r="S49" s="163"/>
    </row>
    <row r="50" spans="2:19" x14ac:dyDescent="0.3">
      <c r="B50" s="183">
        <v>2045</v>
      </c>
      <c r="C50" s="184"/>
      <c r="D50" s="188" t="str">
        <f>IFERROR(VLOOKUP(B50,'Avoided Cap LFE (Addendum T2)'!$AG$12:$AJ$49,2,FALSE),"")</f>
        <v>N+27</v>
      </c>
      <c r="E50" s="184"/>
      <c r="F50" s="244">
        <f>'Capacity Price Forecast'!G39</f>
        <v>118.40301284722291</v>
      </c>
      <c r="G50" s="189">
        <f>IFERROR(VLOOKUP($B50,'Avoided Cap LFE (Addendum T2)'!$AG$12:$AJ$49,4,FALSE),0)</f>
        <v>1</v>
      </c>
      <c r="H50" s="246">
        <f t="shared" si="3"/>
        <v>118.40301284722291</v>
      </c>
      <c r="I50" s="178"/>
      <c r="J50" s="209"/>
      <c r="K50" s="210"/>
      <c r="L50" s="211"/>
      <c r="M50" s="212"/>
      <c r="N50" s="213"/>
      <c r="P50" s="235">
        <f t="shared" si="0"/>
        <v>140.31495857196083</v>
      </c>
      <c r="Q50" s="236">
        <f t="shared" si="1"/>
        <v>0</v>
      </c>
      <c r="R50" s="237">
        <f t="shared" si="2"/>
        <v>0</v>
      </c>
      <c r="S50" s="163"/>
    </row>
    <row r="51" spans="2:19" x14ac:dyDescent="0.3">
      <c r="B51" s="183">
        <v>2046</v>
      </c>
      <c r="C51" s="184"/>
      <c r="D51" s="188" t="str">
        <f>IFERROR(VLOOKUP(B51,'Avoided Cap LFE (Addendum T2)'!$AG$12:$AJ$49,2,FALSE),"")</f>
        <v>N+28</v>
      </c>
      <c r="E51" s="184"/>
      <c r="F51" s="244">
        <f>'Capacity Price Forecast'!G40</f>
        <v>120.30256177037906</v>
      </c>
      <c r="G51" s="189">
        <f>IFERROR(VLOOKUP($B51,'Avoided Cap LFE (Addendum T2)'!$AG$12:$AJ$49,4,FALSE),0)</f>
        <v>1</v>
      </c>
      <c r="H51" s="246">
        <f t="shared" si="3"/>
        <v>120.30256177037906</v>
      </c>
      <c r="I51" s="178"/>
      <c r="J51" s="209"/>
      <c r="K51" s="210"/>
      <c r="L51" s="211"/>
      <c r="M51" s="212"/>
      <c r="N51" s="213"/>
      <c r="P51" s="235">
        <f t="shared" si="0"/>
        <v>142.56604257775368</v>
      </c>
      <c r="Q51" s="236">
        <f t="shared" si="1"/>
        <v>0</v>
      </c>
      <c r="R51" s="237">
        <f t="shared" si="2"/>
        <v>0</v>
      </c>
    </row>
    <row r="52" spans="2:19" x14ac:dyDescent="0.3">
      <c r="B52" s="183">
        <v>2047</v>
      </c>
      <c r="C52" s="184"/>
      <c r="D52" s="188" t="str">
        <f>IFERROR(VLOOKUP(B52,'Avoided Cap LFE (Addendum T2)'!$AG$12:$AJ$49,2,FALSE),"")</f>
        <v>N+29</v>
      </c>
      <c r="E52" s="184"/>
      <c r="F52" s="244">
        <f>'Capacity Price Forecast'!G41</f>
        <v>122.23292219796464</v>
      </c>
      <c r="G52" s="189">
        <f>IFERROR(VLOOKUP($B52,'Avoided Cap LFE (Addendum T2)'!$AG$12:$AJ$49,4,FALSE),0)</f>
        <v>1</v>
      </c>
      <c r="H52" s="246">
        <f t="shared" si="3"/>
        <v>122.23292219796464</v>
      </c>
      <c r="I52" s="178"/>
      <c r="J52" s="209"/>
      <c r="K52" s="210"/>
      <c r="L52" s="211"/>
      <c r="M52" s="212"/>
      <c r="N52" s="213"/>
      <c r="P52" s="235">
        <f t="shared" si="0"/>
        <v>144.85364013893329</v>
      </c>
      <c r="Q52" s="236">
        <f t="shared" si="1"/>
        <v>0</v>
      </c>
      <c r="R52" s="237">
        <f t="shared" si="2"/>
        <v>0</v>
      </c>
    </row>
    <row r="53" spans="2:19" x14ac:dyDescent="0.3">
      <c r="B53" s="183">
        <v>2048</v>
      </c>
      <c r="C53" s="184"/>
      <c r="D53" s="188" t="str">
        <f>IFERROR(VLOOKUP(B53,'Avoided Cap LFE (Addendum T2)'!$AG$12:$AJ$49,2,FALSE),"")</f>
        <v>N+30</v>
      </c>
      <c r="E53" s="184"/>
      <c r="F53" s="244">
        <f>'Capacity Price Forecast'!G42</f>
        <v>124.19459793707472</v>
      </c>
      <c r="G53" s="189">
        <f>IFERROR(VLOOKUP($B53,'Avoided Cap LFE (Addendum T2)'!$AG$12:$AJ$49,4,FALSE),0)</f>
        <v>1</v>
      </c>
      <c r="H53" s="246">
        <f t="shared" si="3"/>
        <v>124.19459793707472</v>
      </c>
      <c r="I53" s="178"/>
      <c r="J53" s="209"/>
      <c r="K53" s="210"/>
      <c r="L53" s="211"/>
      <c r="M53" s="212"/>
      <c r="N53" s="213"/>
      <c r="P53" s="235">
        <f t="shared" si="0"/>
        <v>147.17834829834482</v>
      </c>
      <c r="Q53" s="236">
        <f t="shared" si="1"/>
        <v>0</v>
      </c>
      <c r="R53" s="237">
        <f t="shared" si="2"/>
        <v>0</v>
      </c>
    </row>
    <row r="54" spans="2:19" x14ac:dyDescent="0.3">
      <c r="B54" s="183">
        <v>2049</v>
      </c>
      <c r="C54" s="184"/>
      <c r="D54" s="188" t="str">
        <f>IFERROR(VLOOKUP(B54,'Avoided Cap LFE (Addendum T2)'!$AG$12:$AJ$49,2,FALSE),"")</f>
        <v>N+31</v>
      </c>
      <c r="E54" s="184"/>
      <c r="F54" s="244">
        <f>'Capacity Price Forecast'!G43</f>
        <v>126.18810108039705</v>
      </c>
      <c r="G54" s="189">
        <f>IFERROR(VLOOKUP($B54,'Avoided Cap LFE (Addendum T2)'!$AG$12:$AJ$49,4,FALSE),0)</f>
        <v>1</v>
      </c>
      <c r="H54" s="246">
        <f t="shared" si="3"/>
        <v>126.18810108039705</v>
      </c>
      <c r="I54" s="178"/>
      <c r="J54" s="209"/>
      <c r="K54" s="210"/>
      <c r="L54" s="211"/>
      <c r="M54" s="212"/>
      <c r="N54" s="213"/>
      <c r="P54" s="235">
        <f t="shared" si="0"/>
        <v>149.54077391777793</v>
      </c>
      <c r="Q54" s="236">
        <f t="shared" si="1"/>
        <v>0</v>
      </c>
      <c r="R54" s="237">
        <f t="shared" si="2"/>
        <v>0</v>
      </c>
    </row>
    <row r="55" spans="2:19" ht="15" thickBot="1" x14ac:dyDescent="0.35">
      <c r="B55" s="191">
        <v>2050</v>
      </c>
      <c r="C55" s="184"/>
      <c r="D55" s="192" t="str">
        <f>IFERROR(VLOOKUP(B55,'Avoided Cap LFE (Addendum T2)'!$AG$12:$AJ$49,2,FALSE),"")</f>
        <v>N+32</v>
      </c>
      <c r="E55" s="184"/>
      <c r="F55" s="245">
        <f>'Capacity Price Forecast'!G44</f>
        <v>128.21395214303678</v>
      </c>
      <c r="G55" s="193">
        <f>IFERROR(VLOOKUP($B55,'Avoided Cap LFE (Addendum T2)'!$AG$12:$AJ$49,4,FALSE),0)</f>
        <v>1</v>
      </c>
      <c r="H55" s="247">
        <f t="shared" si="3"/>
        <v>128.21395214303678</v>
      </c>
      <c r="I55" s="178"/>
      <c r="J55" s="214"/>
      <c r="K55" s="215"/>
      <c r="L55" s="216"/>
      <c r="M55" s="217"/>
      <c r="N55" s="218"/>
      <c r="P55" s="238">
        <f t="shared" si="0"/>
        <v>151.94153384011236</v>
      </c>
      <c r="Q55" s="239">
        <f t="shared" si="1"/>
        <v>0</v>
      </c>
      <c r="R55" s="240">
        <f t="shared" si="2"/>
        <v>0</v>
      </c>
    </row>
  </sheetData>
  <mergeCells count="4">
    <mergeCell ref="D17:D20"/>
    <mergeCell ref="F17:H19"/>
    <mergeCell ref="J17:N19"/>
    <mergeCell ref="P17:R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0"/>
  <sheetViews>
    <sheetView workbookViewId="0">
      <selection activeCell="D20" sqref="D20"/>
    </sheetView>
  </sheetViews>
  <sheetFormatPr defaultRowHeight="14.4" x14ac:dyDescent="0.3"/>
  <cols>
    <col min="1" max="1" width="23.5546875" customWidth="1"/>
  </cols>
  <sheetData>
    <row r="1" spans="1:8" ht="23.4" x14ac:dyDescent="0.45">
      <c r="A1" s="80" t="s">
        <v>148</v>
      </c>
    </row>
    <row r="2" spans="1:8" x14ac:dyDescent="0.3">
      <c r="A2" s="8"/>
    </row>
    <row r="4" spans="1:8" ht="20.399999999999999" thickBot="1" x14ac:dyDescent="0.45">
      <c r="A4" s="79" t="s">
        <v>88</v>
      </c>
      <c r="B4" s="79"/>
      <c r="C4" s="79"/>
      <c r="D4" s="79"/>
      <c r="E4" s="79"/>
      <c r="F4" s="79"/>
      <c r="G4" s="79"/>
      <c r="H4" s="79"/>
    </row>
    <row r="5" spans="1:8" ht="15.6" thickTop="1" thickBot="1" x14ac:dyDescent="0.35">
      <c r="A5" s="7" t="s">
        <v>24</v>
      </c>
      <c r="B5" s="52">
        <f>Summary!B7</f>
        <v>2018</v>
      </c>
      <c r="E5" s="7" t="str">
        <f>Summary!A11</f>
        <v>Wholesale Risk Premium (WRP)</v>
      </c>
      <c r="H5" s="52">
        <f>Summary!B11</f>
        <v>0.08</v>
      </c>
    </row>
    <row r="6" spans="1:8" ht="15.6" thickTop="1" thickBot="1" x14ac:dyDescent="0.35">
      <c r="A6" s="7" t="s">
        <v>25</v>
      </c>
      <c r="B6" s="52">
        <f>Summary!B8</f>
        <v>100</v>
      </c>
      <c r="E6" s="7" t="str">
        <f>Summary!A12</f>
        <v>Distribution Losses (DL)</v>
      </c>
      <c r="H6" s="52">
        <f>Summary!B12</f>
        <v>0.08</v>
      </c>
    </row>
    <row r="7" spans="1:8" ht="15.6" thickTop="1" thickBot="1" x14ac:dyDescent="0.35">
      <c r="A7" s="7" t="s">
        <v>26</v>
      </c>
      <c r="B7" s="52">
        <f>Summary!B9</f>
        <v>0.5</v>
      </c>
      <c r="E7" s="7" t="str">
        <f>Summary!A13</f>
        <v>PTF losses (PTF)</v>
      </c>
      <c r="H7" s="52">
        <f>Summary!B13</f>
        <v>1.6E-2</v>
      </c>
    </row>
    <row r="8" spans="1:8" ht="15" thickTop="1" x14ac:dyDescent="0.3"/>
    <row r="10" spans="1:8" x14ac:dyDescent="0.3">
      <c r="B10" s="272" t="s">
        <v>144</v>
      </c>
      <c r="C10" s="272"/>
      <c r="D10" s="272"/>
      <c r="F10" s="272" t="s">
        <v>145</v>
      </c>
      <c r="G10" s="272"/>
    </row>
    <row r="11" spans="1:8" x14ac:dyDescent="0.3">
      <c r="C11" s="273" t="s">
        <v>102</v>
      </c>
      <c r="D11" s="273"/>
      <c r="E11" s="122"/>
      <c r="F11" s="273" t="s">
        <v>102</v>
      </c>
      <c r="G11" s="273"/>
    </row>
    <row r="12" spans="1:8" ht="27.6" thickBot="1" x14ac:dyDescent="0.35">
      <c r="A12" s="131" t="s">
        <v>1</v>
      </c>
      <c r="B12" s="130" t="s">
        <v>52</v>
      </c>
      <c r="C12" s="128" t="s">
        <v>93</v>
      </c>
      <c r="D12" s="128" t="s">
        <v>103</v>
      </c>
      <c r="E12" s="96"/>
      <c r="F12" s="128" t="s">
        <v>93</v>
      </c>
      <c r="G12" s="128" t="s">
        <v>103</v>
      </c>
    </row>
    <row r="13" spans="1:8" ht="15" thickTop="1" x14ac:dyDescent="0.3">
      <c r="A13">
        <v>2018</v>
      </c>
      <c r="B13" s="129">
        <v>0.16799999999999993</v>
      </c>
      <c r="C13" s="124">
        <f>IF(A13&gt;=$B$5,'Capacity Forecast'!E8,0)</f>
        <v>104.4975</v>
      </c>
      <c r="D13" s="124">
        <f>C13*(1+B13)*SUMIFS('Avoided Cap LFE (Addendum T2)'!AJ:AJ,'Avoided Cap LFE (Addendum T2)'!AG:AG,$A13)</f>
        <v>0</v>
      </c>
      <c r="E13" s="125"/>
      <c r="F13" s="124">
        <f>C13*(1+$H$6)</f>
        <v>112.85730000000001</v>
      </c>
      <c r="G13" s="124">
        <f>D13*(1+$H$5)*(1+$H$6)*(1+$H$7)</f>
        <v>0</v>
      </c>
    </row>
    <row r="14" spans="1:8" x14ac:dyDescent="0.3">
      <c r="A14">
        <f>A13+1</f>
        <v>2019</v>
      </c>
      <c r="B14" s="87">
        <v>0.19799999999999995</v>
      </c>
      <c r="C14" s="124">
        <f>IF(A14&gt;=$B$5,'Capacity Forecast'!E9,0)</f>
        <v>100.00999999999999</v>
      </c>
      <c r="D14" s="124">
        <f>C14*(1+B14)*SUMIFS('Avoided Cap LFE (Addendum T2)'!AJ:AJ,'Avoided Cap LFE (Addendum T2)'!AG:AG,$A14)</f>
        <v>0</v>
      </c>
      <c r="E14" s="125"/>
      <c r="F14" s="124">
        <f t="shared" ref="F14:F30" si="0">C14*(1+H7)</f>
        <v>101.61015999999999</v>
      </c>
      <c r="G14" s="124">
        <f t="shared" ref="G14:G30" si="1">D14*(1+$H$5)*(1+$H$6)*(1+$H$7)</f>
        <v>0</v>
      </c>
    </row>
    <row r="15" spans="1:8" x14ac:dyDescent="0.3">
      <c r="A15">
        <f t="shared" ref="A15:A30" si="2">A14+1</f>
        <v>2020</v>
      </c>
      <c r="B15" s="87">
        <v>0.22100000000000009</v>
      </c>
      <c r="C15" s="124">
        <f>IF(A15&gt;=$B$5,'Capacity Forecast'!E10,0)</f>
        <v>73.849999999999994</v>
      </c>
      <c r="D15" s="124">
        <f>C15*(1+B15)*SUMIFS('Avoided Cap LFE (Addendum T2)'!AJ:AJ,'Avoided Cap LFE (Addendum T2)'!AG:AG,$A15)</f>
        <v>0</v>
      </c>
      <c r="E15" s="125"/>
      <c r="F15" s="124">
        <f t="shared" si="0"/>
        <v>73.849999999999994</v>
      </c>
      <c r="G15" s="124">
        <f t="shared" si="1"/>
        <v>0</v>
      </c>
    </row>
    <row r="16" spans="1:8" x14ac:dyDescent="0.3">
      <c r="A16">
        <f t="shared" si="2"/>
        <v>2021</v>
      </c>
      <c r="B16" s="87">
        <v>0.18100000000000005</v>
      </c>
      <c r="C16" s="124">
        <f>IF(A16&gt;=$B$5,'Capacity Forecast'!E11,0)</f>
        <v>59.93</v>
      </c>
      <c r="D16" s="124">
        <f>C16*(1+B16)*SUMIFS('Avoided Cap LFE (Addendum T2)'!AJ:AJ,'Avoided Cap LFE (Addendum T2)'!AG:AG,$A16)</f>
        <v>0</v>
      </c>
      <c r="E16" s="125"/>
      <c r="F16" s="124">
        <f t="shared" si="0"/>
        <v>59.93</v>
      </c>
      <c r="G16" s="124">
        <f t="shared" si="1"/>
        <v>0</v>
      </c>
    </row>
    <row r="17" spans="1:7" x14ac:dyDescent="0.3">
      <c r="A17">
        <f t="shared" si="2"/>
        <v>2022</v>
      </c>
      <c r="B17" s="87">
        <v>0.17999999999999994</v>
      </c>
      <c r="C17" s="124">
        <f>IF(A17&gt;=$B$5,'Capacity Forecast'!E12,0)</f>
        <v>57.58</v>
      </c>
      <c r="D17" s="124">
        <f>C17*(1+B17)*SUMIFS('Avoided Cap LFE (Addendum T2)'!AJ:AJ,'Avoided Cap LFE (Addendum T2)'!AG:AG,$A17)</f>
        <v>0</v>
      </c>
      <c r="E17" s="125"/>
      <c r="F17" s="124">
        <f t="shared" si="0"/>
        <v>57.58</v>
      </c>
      <c r="G17" s="124">
        <f t="shared" si="1"/>
        <v>0</v>
      </c>
    </row>
    <row r="18" spans="1:7" x14ac:dyDescent="0.3">
      <c r="A18">
        <f t="shared" si="2"/>
        <v>2023</v>
      </c>
      <c r="B18" s="87">
        <v>0.17900000000000005</v>
      </c>
      <c r="C18" s="124">
        <f>IF(A18&gt;=$B$5,'Capacity Forecast'!E13,0)</f>
        <v>58.78</v>
      </c>
      <c r="D18" s="124">
        <f>C18*(1+B18)*SUMIFS('Avoided Cap LFE (Addendum T2)'!AJ:AJ,'Avoided Cap LFE (Addendum T2)'!AG:AG,$A18)</f>
        <v>20.790485999999998</v>
      </c>
      <c r="E18" s="125"/>
      <c r="F18" s="124">
        <f t="shared" si="0"/>
        <v>58.78</v>
      </c>
      <c r="G18" s="124">
        <f t="shared" si="1"/>
        <v>24.638023236326404</v>
      </c>
    </row>
    <row r="19" spans="1:7" x14ac:dyDescent="0.3">
      <c r="A19">
        <f t="shared" si="2"/>
        <v>2024</v>
      </c>
      <c r="B19" s="87">
        <v>0.17700000000000005</v>
      </c>
      <c r="C19" s="124">
        <f>IF(A19&gt;=$B$5,'Capacity Forecast'!E14,0)</f>
        <v>61.24</v>
      </c>
      <c r="D19" s="124">
        <f>C19*(1+B19)*SUMIFS('Avoided Cap LFE (Addendum T2)'!AJ:AJ,'Avoided Cap LFE (Addendum T2)'!AG:AG,$A19)</f>
        <v>36.039740000000002</v>
      </c>
      <c r="E19" s="125"/>
      <c r="F19" s="124">
        <f t="shared" si="0"/>
        <v>61.24</v>
      </c>
      <c r="G19" s="124">
        <f t="shared" si="1"/>
        <v>42.709340779776007</v>
      </c>
    </row>
    <row r="20" spans="1:7" x14ac:dyDescent="0.3">
      <c r="A20">
        <f t="shared" si="2"/>
        <v>2025</v>
      </c>
      <c r="B20" s="87">
        <v>0.17300000000000004</v>
      </c>
      <c r="C20" s="124">
        <f>IF(A20&gt;=$B$5,'Capacity Forecast'!E15,0)</f>
        <v>65.650000000000006</v>
      </c>
      <c r="D20" s="124">
        <f>C20*(1+B20)*SUMIFS('Avoided Cap LFE (Addendum T2)'!AJ:AJ,'Avoided Cap LFE (Addendum T2)'!AG:AG,$A20)</f>
        <v>53.905214999999998</v>
      </c>
      <c r="E20" s="125"/>
      <c r="F20" s="124">
        <f t="shared" si="0"/>
        <v>65.650000000000006</v>
      </c>
      <c r="G20" s="124">
        <f t="shared" si="1"/>
        <v>63.881043460416009</v>
      </c>
    </row>
    <row r="21" spans="1:7" x14ac:dyDescent="0.3">
      <c r="A21">
        <f t="shared" si="2"/>
        <v>2026</v>
      </c>
      <c r="B21" s="87">
        <v>0.16900000000000004</v>
      </c>
      <c r="C21" s="124">
        <f>IF(A21&gt;=$B$5,'Capacity Forecast'!E16,0)</f>
        <v>71.16</v>
      </c>
      <c r="D21" s="124">
        <f>C21*(1+B21)*SUMIFS('Avoided Cap LFE (Addendum T2)'!AJ:AJ,'Avoided Cap LFE (Addendum T2)'!AG:AG,$A21)</f>
        <v>74.867436000000012</v>
      </c>
      <c r="E21" s="125"/>
      <c r="F21" s="124">
        <f t="shared" si="0"/>
        <v>71.16</v>
      </c>
      <c r="G21" s="124">
        <f t="shared" si="1"/>
        <v>88.722583388006427</v>
      </c>
    </row>
    <row r="22" spans="1:7" x14ac:dyDescent="0.3">
      <c r="A22">
        <f t="shared" si="2"/>
        <v>2027</v>
      </c>
      <c r="B22" s="87">
        <v>0.16500000000000004</v>
      </c>
      <c r="C22" s="124">
        <f>IF(A22&gt;=$B$5,'Capacity Forecast'!E17,0)</f>
        <v>76.849999999999994</v>
      </c>
      <c r="D22" s="124">
        <f>C22*(1+B22)*SUMIFS('Avoided Cap LFE (Addendum T2)'!AJ:AJ,'Avoided Cap LFE (Addendum T2)'!AG:AG,$A22)</f>
        <v>89.530249999999995</v>
      </c>
      <c r="E22" s="125"/>
      <c r="F22" s="124">
        <f t="shared" si="0"/>
        <v>76.849999999999994</v>
      </c>
      <c r="G22" s="124">
        <f t="shared" si="1"/>
        <v>106.09893293760001</v>
      </c>
    </row>
    <row r="23" spans="1:7" x14ac:dyDescent="0.3">
      <c r="A23">
        <f t="shared" si="2"/>
        <v>2028</v>
      </c>
      <c r="B23" s="87">
        <v>0.14900000000000002</v>
      </c>
      <c r="C23" s="124">
        <f>IF(A23&gt;=$B$5,'Capacity Forecast'!E18,0)</f>
        <v>82.490000000000009</v>
      </c>
      <c r="D23" s="124">
        <f>C23*(1+B23)*SUMIFS('Avoided Cap LFE (Addendum T2)'!AJ:AJ,'Avoided Cap LFE (Addendum T2)'!AG:AG,$A23)</f>
        <v>94.781010000000009</v>
      </c>
      <c r="E23" s="125"/>
      <c r="F23" s="124">
        <f t="shared" si="0"/>
        <v>82.490000000000009</v>
      </c>
      <c r="G23" s="124">
        <f t="shared" si="1"/>
        <v>112.32141118502403</v>
      </c>
    </row>
    <row r="24" spans="1:7" x14ac:dyDescent="0.3">
      <c r="A24">
        <f t="shared" si="2"/>
        <v>2029</v>
      </c>
      <c r="B24" s="87">
        <v>0.14599999999999991</v>
      </c>
      <c r="C24" s="124">
        <f>IF(A24&gt;=$B$5,'Capacity Forecast'!E19,0)</f>
        <v>88.13</v>
      </c>
      <c r="D24" s="124">
        <f>C24*(1+B24)*SUMIFS('Avoided Cap LFE (Addendum T2)'!AJ:AJ,'Avoided Cap LFE (Addendum T2)'!AG:AG,$A24)</f>
        <v>100.99697999999999</v>
      </c>
      <c r="E24" s="125"/>
      <c r="F24" s="124">
        <f t="shared" si="0"/>
        <v>88.13</v>
      </c>
      <c r="G24" s="124">
        <f t="shared" si="1"/>
        <v>119.68772351155201</v>
      </c>
    </row>
    <row r="25" spans="1:7" x14ac:dyDescent="0.3">
      <c r="A25">
        <f t="shared" si="2"/>
        <v>2030</v>
      </c>
      <c r="B25" s="87">
        <v>0.16500000000000004</v>
      </c>
      <c r="C25" s="124">
        <f>IF(A25&gt;=$B$5,'Capacity Forecast'!E20,0)</f>
        <v>83.9</v>
      </c>
      <c r="D25" s="124">
        <f>C25*(1+B25)*SUMIFS('Avoided Cap LFE (Addendum T2)'!AJ:AJ,'Avoided Cap LFE (Addendum T2)'!AG:AG,$A25)</f>
        <v>97.743500000000012</v>
      </c>
      <c r="E25" s="125"/>
      <c r="F25" s="124">
        <f t="shared" si="0"/>
        <v>83.9</v>
      </c>
      <c r="G25" s="124">
        <f t="shared" si="1"/>
        <v>115.83214669440004</v>
      </c>
    </row>
    <row r="26" spans="1:7" x14ac:dyDescent="0.3">
      <c r="A26">
        <f t="shared" si="2"/>
        <v>2031</v>
      </c>
      <c r="B26" s="87">
        <v>0.14900000000000002</v>
      </c>
      <c r="C26" s="124">
        <f>IF(A26&gt;=$B$5,'Capacity Forecast'!E21,0)</f>
        <v>82.490000000000009</v>
      </c>
      <c r="D26" s="124">
        <f>C26*(1+B26)*SUMIFS('Avoided Cap LFE (Addendum T2)'!AJ:AJ,'Avoided Cap LFE (Addendum T2)'!AG:AG,$A26)</f>
        <v>94.781010000000009</v>
      </c>
      <c r="E26" s="125"/>
      <c r="F26" s="124">
        <f t="shared" si="0"/>
        <v>82.490000000000009</v>
      </c>
      <c r="G26" s="124">
        <f t="shared" si="1"/>
        <v>112.32141118502403</v>
      </c>
    </row>
    <row r="27" spans="1:7" x14ac:dyDescent="0.3">
      <c r="A27">
        <f t="shared" si="2"/>
        <v>2032</v>
      </c>
      <c r="B27" s="87">
        <v>0.14599999999999991</v>
      </c>
      <c r="C27" s="124">
        <f>IF(A27&gt;=$B$5,'Capacity Forecast'!E22,0)</f>
        <v>88.13</v>
      </c>
      <c r="D27" s="124">
        <f>C27*(1+B27)*SUMIFS('Avoided Cap LFE (Addendum T2)'!AJ:AJ,'Avoided Cap LFE (Addendum T2)'!AG:AG,$A27)</f>
        <v>100.99697999999999</v>
      </c>
      <c r="E27" s="125"/>
      <c r="F27" s="124">
        <f t="shared" si="0"/>
        <v>88.13</v>
      </c>
      <c r="G27" s="124">
        <f t="shared" si="1"/>
        <v>119.68772351155201</v>
      </c>
    </row>
    <row r="28" spans="1:7" x14ac:dyDescent="0.3">
      <c r="A28">
        <f t="shared" si="2"/>
        <v>2033</v>
      </c>
      <c r="B28" s="87">
        <v>0.16500000000000004</v>
      </c>
      <c r="C28" s="124">
        <f>IF(A28&gt;=$B$5,'Capacity Forecast'!E23,0)</f>
        <v>83.9</v>
      </c>
      <c r="D28" s="124">
        <f>C28*(1+B28)*SUMIFS('Avoided Cap LFE (Addendum T2)'!AJ:AJ,'Avoided Cap LFE (Addendum T2)'!AG:AG,$A28)</f>
        <v>97.743500000000012</v>
      </c>
      <c r="E28" s="125"/>
      <c r="F28" s="124">
        <f t="shared" si="0"/>
        <v>83.9</v>
      </c>
      <c r="G28" s="124">
        <f t="shared" si="1"/>
        <v>115.83214669440004</v>
      </c>
    </row>
    <row r="29" spans="1:7" x14ac:dyDescent="0.3">
      <c r="A29">
        <f t="shared" si="2"/>
        <v>2034</v>
      </c>
      <c r="B29" s="87">
        <v>0.14900000000000002</v>
      </c>
      <c r="C29" s="124">
        <f>IF(A29&gt;=$B$5,'Capacity Forecast'!E24,0)</f>
        <v>82.490000000000009</v>
      </c>
      <c r="D29" s="124">
        <f>C29*(1+B29)*SUMIFS('Avoided Cap LFE (Addendum T2)'!AJ:AJ,'Avoided Cap LFE (Addendum T2)'!AG:AG,$A29)</f>
        <v>94.781010000000009</v>
      </c>
      <c r="E29" s="125"/>
      <c r="F29" s="124">
        <f t="shared" si="0"/>
        <v>82.490000000000009</v>
      </c>
      <c r="G29" s="124">
        <f t="shared" si="1"/>
        <v>112.32141118502403</v>
      </c>
    </row>
    <row r="30" spans="1:7" x14ac:dyDescent="0.3">
      <c r="A30">
        <f t="shared" si="2"/>
        <v>2035</v>
      </c>
      <c r="B30" s="88">
        <v>0.14599999999999991</v>
      </c>
      <c r="C30" s="124">
        <f>IF(A30&gt;=$B$5,'Capacity Forecast'!E25,0)</f>
        <v>88.13</v>
      </c>
      <c r="D30" s="124">
        <f>C30*(1+B30)*SUMIFS('Avoided Cap LFE (Addendum T2)'!AJ:AJ,'Avoided Cap LFE (Addendum T2)'!AG:AG,$A30)</f>
        <v>100.99697999999999</v>
      </c>
      <c r="E30" s="125"/>
      <c r="F30" s="124">
        <f t="shared" si="0"/>
        <v>88.13</v>
      </c>
      <c r="G30" s="124">
        <f t="shared" si="1"/>
        <v>119.68772351155201</v>
      </c>
    </row>
  </sheetData>
  <mergeCells count="4">
    <mergeCell ref="C11:D11"/>
    <mergeCell ref="B10:D10"/>
    <mergeCell ref="F11:G11"/>
    <mergeCell ref="F10:G10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D20" sqref="D20"/>
    </sheetView>
  </sheetViews>
  <sheetFormatPr defaultRowHeight="14.4" x14ac:dyDescent="0.3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4:E25"/>
  <sheetViews>
    <sheetView workbookViewId="0">
      <selection activeCell="D20" sqref="D20"/>
    </sheetView>
  </sheetViews>
  <sheetFormatPr defaultRowHeight="14.4" x14ac:dyDescent="0.3"/>
  <sheetData>
    <row r="4" spans="1:5" ht="15.6" x14ac:dyDescent="0.3">
      <c r="A4" s="82" t="s">
        <v>101</v>
      </c>
    </row>
    <row r="5" spans="1:5" x14ac:dyDescent="0.3">
      <c r="D5" s="278" t="s">
        <v>100</v>
      </c>
      <c r="E5" s="278"/>
    </row>
    <row r="6" spans="1:5" x14ac:dyDescent="0.3">
      <c r="A6" s="275" t="s">
        <v>94</v>
      </c>
      <c r="B6" s="275" t="s">
        <v>1</v>
      </c>
      <c r="C6" s="83"/>
      <c r="D6" s="277" t="s">
        <v>98</v>
      </c>
      <c r="E6" s="277" t="s">
        <v>99</v>
      </c>
    </row>
    <row r="7" spans="1:5" x14ac:dyDescent="0.3">
      <c r="A7" s="275"/>
      <c r="B7" s="275"/>
      <c r="C7" s="83" t="s">
        <v>95</v>
      </c>
      <c r="D7" s="277"/>
      <c r="E7" s="277"/>
    </row>
    <row r="8" spans="1:5" x14ac:dyDescent="0.3">
      <c r="A8" s="84" t="s">
        <v>96</v>
      </c>
      <c r="B8" s="5">
        <v>2018</v>
      </c>
      <c r="C8" s="84" t="s">
        <v>97</v>
      </c>
      <c r="D8" s="85">
        <v>8.7081250000000008</v>
      </c>
      <c r="E8" s="86">
        <f>D8*12</f>
        <v>104.4975</v>
      </c>
    </row>
    <row r="9" spans="1:5" x14ac:dyDescent="0.3">
      <c r="A9" s="84" t="s">
        <v>96</v>
      </c>
      <c r="B9" s="5">
        <v>2019</v>
      </c>
      <c r="C9" s="84" t="s">
        <v>97</v>
      </c>
      <c r="D9" s="85">
        <v>8.3341666666666665</v>
      </c>
      <c r="E9" s="86">
        <f t="shared" ref="E9:E25" si="0">D9*12</f>
        <v>100.00999999999999</v>
      </c>
    </row>
    <row r="10" spans="1:5" x14ac:dyDescent="0.3">
      <c r="A10" s="84" t="s">
        <v>96</v>
      </c>
      <c r="B10" s="5">
        <v>2020</v>
      </c>
      <c r="C10" s="84" t="s">
        <v>97</v>
      </c>
      <c r="D10" s="85">
        <v>6.1541666666666659</v>
      </c>
      <c r="E10" s="86">
        <f t="shared" si="0"/>
        <v>73.849999999999994</v>
      </c>
    </row>
    <row r="11" spans="1:5" x14ac:dyDescent="0.3">
      <c r="A11" s="84" t="s">
        <v>96</v>
      </c>
      <c r="B11" s="5">
        <v>2021</v>
      </c>
      <c r="C11" s="84" t="s">
        <v>97</v>
      </c>
      <c r="D11" s="85">
        <v>4.9941666666666666</v>
      </c>
      <c r="E11" s="86">
        <f t="shared" si="0"/>
        <v>59.93</v>
      </c>
    </row>
    <row r="12" spans="1:5" x14ac:dyDescent="0.3">
      <c r="A12" s="84" t="s">
        <v>96</v>
      </c>
      <c r="B12" s="5">
        <v>2022</v>
      </c>
      <c r="C12" s="84" t="s">
        <v>97</v>
      </c>
      <c r="D12" s="85">
        <v>4.7983333333333329</v>
      </c>
      <c r="E12" s="86">
        <f t="shared" si="0"/>
        <v>57.58</v>
      </c>
    </row>
    <row r="13" spans="1:5" x14ac:dyDescent="0.3">
      <c r="A13" s="84" t="s">
        <v>96</v>
      </c>
      <c r="B13" s="5">
        <v>2023</v>
      </c>
      <c r="C13" s="84" t="s">
        <v>97</v>
      </c>
      <c r="D13" s="85">
        <v>4.8983333333333334</v>
      </c>
      <c r="E13" s="86">
        <f t="shared" si="0"/>
        <v>58.78</v>
      </c>
    </row>
    <row r="14" spans="1:5" x14ac:dyDescent="0.3">
      <c r="A14" s="84" t="s">
        <v>96</v>
      </c>
      <c r="B14" s="5">
        <v>2024</v>
      </c>
      <c r="C14" s="84" t="s">
        <v>97</v>
      </c>
      <c r="D14" s="85">
        <v>5.1033333333333335</v>
      </c>
      <c r="E14" s="86">
        <f t="shared" si="0"/>
        <v>61.24</v>
      </c>
    </row>
    <row r="15" spans="1:5" x14ac:dyDescent="0.3">
      <c r="A15" s="84" t="s">
        <v>96</v>
      </c>
      <c r="B15" s="5">
        <v>2025</v>
      </c>
      <c r="C15" s="84" t="s">
        <v>97</v>
      </c>
      <c r="D15" s="85">
        <v>5.4708333333333341</v>
      </c>
      <c r="E15" s="86">
        <f t="shared" si="0"/>
        <v>65.650000000000006</v>
      </c>
    </row>
    <row r="16" spans="1:5" x14ac:dyDescent="0.3">
      <c r="A16" s="84" t="s">
        <v>96</v>
      </c>
      <c r="B16" s="5">
        <v>2026</v>
      </c>
      <c r="C16" s="84" t="s">
        <v>97</v>
      </c>
      <c r="D16" s="85">
        <v>5.93</v>
      </c>
      <c r="E16" s="86">
        <f t="shared" si="0"/>
        <v>71.16</v>
      </c>
    </row>
    <row r="17" spans="1:5" x14ac:dyDescent="0.3">
      <c r="A17" s="84" t="s">
        <v>96</v>
      </c>
      <c r="B17" s="5">
        <v>2027</v>
      </c>
      <c r="C17" s="84" t="s">
        <v>97</v>
      </c>
      <c r="D17" s="85">
        <v>6.4041666666666659</v>
      </c>
      <c r="E17" s="86">
        <f t="shared" si="0"/>
        <v>76.849999999999994</v>
      </c>
    </row>
    <row r="18" spans="1:5" x14ac:dyDescent="0.3">
      <c r="A18" s="84" t="s">
        <v>96</v>
      </c>
      <c r="B18" s="5">
        <v>2028</v>
      </c>
      <c r="C18" s="84" t="s">
        <v>97</v>
      </c>
      <c r="D18" s="85">
        <v>6.8741666666666674</v>
      </c>
      <c r="E18" s="86">
        <f t="shared" si="0"/>
        <v>82.490000000000009</v>
      </c>
    </row>
    <row r="19" spans="1:5" x14ac:dyDescent="0.3">
      <c r="A19" s="84" t="s">
        <v>96</v>
      </c>
      <c r="B19" s="5">
        <v>2029</v>
      </c>
      <c r="C19" s="84" t="s">
        <v>97</v>
      </c>
      <c r="D19" s="85">
        <v>7.3441666666666663</v>
      </c>
      <c r="E19" s="86">
        <f t="shared" si="0"/>
        <v>88.13</v>
      </c>
    </row>
    <row r="20" spans="1:5" x14ac:dyDescent="0.3">
      <c r="A20" s="84" t="s">
        <v>96</v>
      </c>
      <c r="B20" s="5">
        <v>2030</v>
      </c>
      <c r="C20" s="84" t="s">
        <v>97</v>
      </c>
      <c r="D20" s="85">
        <v>6.9916666666666671</v>
      </c>
      <c r="E20" s="86">
        <f t="shared" si="0"/>
        <v>83.9</v>
      </c>
    </row>
    <row r="21" spans="1:5" x14ac:dyDescent="0.3">
      <c r="A21" s="84" t="s">
        <v>96</v>
      </c>
      <c r="B21" s="5">
        <v>2031</v>
      </c>
      <c r="C21" s="84" t="s">
        <v>97</v>
      </c>
      <c r="D21" s="85">
        <v>6.8741666666666674</v>
      </c>
      <c r="E21" s="86">
        <f t="shared" si="0"/>
        <v>82.490000000000009</v>
      </c>
    </row>
    <row r="22" spans="1:5" x14ac:dyDescent="0.3">
      <c r="A22" s="84" t="s">
        <v>96</v>
      </c>
      <c r="B22" s="5">
        <v>2032</v>
      </c>
      <c r="C22" s="84" t="s">
        <v>97</v>
      </c>
      <c r="D22" s="85">
        <v>7.3441666666666663</v>
      </c>
      <c r="E22" s="86">
        <f t="shared" si="0"/>
        <v>88.13</v>
      </c>
    </row>
    <row r="23" spans="1:5" x14ac:dyDescent="0.3">
      <c r="A23" s="84" t="s">
        <v>96</v>
      </c>
      <c r="B23" s="5">
        <v>2033</v>
      </c>
      <c r="C23" s="84" t="s">
        <v>97</v>
      </c>
      <c r="D23" s="85">
        <v>6.9916666666666671</v>
      </c>
      <c r="E23" s="86">
        <f t="shared" si="0"/>
        <v>83.9</v>
      </c>
    </row>
    <row r="24" spans="1:5" x14ac:dyDescent="0.3">
      <c r="A24" s="84" t="s">
        <v>96</v>
      </c>
      <c r="B24" s="5">
        <v>2034</v>
      </c>
      <c r="C24" s="84" t="s">
        <v>97</v>
      </c>
      <c r="D24" s="85">
        <v>6.8741666666666674</v>
      </c>
      <c r="E24" s="86">
        <f t="shared" si="0"/>
        <v>82.490000000000009</v>
      </c>
    </row>
    <row r="25" spans="1:5" x14ac:dyDescent="0.3">
      <c r="A25" s="84" t="s">
        <v>96</v>
      </c>
      <c r="B25" s="5">
        <v>2035</v>
      </c>
      <c r="C25" s="84" t="s">
        <v>97</v>
      </c>
      <c r="D25" s="85">
        <v>7.3441666666666663</v>
      </c>
      <c r="E25" s="86">
        <f t="shared" si="0"/>
        <v>88.13</v>
      </c>
    </row>
  </sheetData>
  <mergeCells count="5">
    <mergeCell ref="A6:A7"/>
    <mergeCell ref="B6:B7"/>
    <mergeCell ref="D6:D7"/>
    <mergeCell ref="E6:E7"/>
    <mergeCell ref="D5:E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25"/>
  <sheetViews>
    <sheetView workbookViewId="0">
      <selection activeCell="D20" sqref="D20"/>
    </sheetView>
  </sheetViews>
  <sheetFormatPr defaultRowHeight="14.4" x14ac:dyDescent="0.3"/>
  <sheetData>
    <row r="1" spans="1:8" ht="23.4" x14ac:dyDescent="0.45">
      <c r="A1" s="80" t="s">
        <v>91</v>
      </c>
    </row>
    <row r="2" spans="1:8" x14ac:dyDescent="0.3">
      <c r="A2" s="8" t="s">
        <v>92</v>
      </c>
    </row>
    <row r="3" spans="1:8" x14ac:dyDescent="0.3">
      <c r="A3" s="8"/>
    </row>
    <row r="5" spans="1:8" ht="41.4" x14ac:dyDescent="0.3">
      <c r="A5" s="21" t="s">
        <v>50</v>
      </c>
      <c r="B5" s="21" t="s">
        <v>51</v>
      </c>
      <c r="C5" s="22" t="s">
        <v>52</v>
      </c>
      <c r="D5" s="22" t="s">
        <v>53</v>
      </c>
      <c r="E5" s="22" t="s">
        <v>54</v>
      </c>
      <c r="F5" s="22" t="s">
        <v>55</v>
      </c>
      <c r="G5" s="22" t="s">
        <v>56</v>
      </c>
      <c r="H5" s="22" t="s">
        <v>57</v>
      </c>
    </row>
    <row r="6" spans="1:8" ht="27.6" x14ac:dyDescent="0.3">
      <c r="A6" s="23"/>
      <c r="B6" s="23"/>
      <c r="C6" s="24"/>
      <c r="D6" s="23" t="s">
        <v>58</v>
      </c>
      <c r="E6" s="23" t="s">
        <v>59</v>
      </c>
      <c r="F6" s="23" t="s">
        <v>59</v>
      </c>
      <c r="G6" s="23" t="s">
        <v>59</v>
      </c>
      <c r="H6" s="24" t="s">
        <v>59</v>
      </c>
    </row>
    <row r="7" spans="1:8" x14ac:dyDescent="0.3">
      <c r="A7" s="25"/>
      <c r="B7" s="25"/>
      <c r="C7" s="26" t="s">
        <v>60</v>
      </c>
      <c r="D7" s="25"/>
      <c r="E7" s="25" t="s">
        <v>61</v>
      </c>
      <c r="F7" s="25" t="s">
        <v>62</v>
      </c>
      <c r="G7" s="25" t="s">
        <v>63</v>
      </c>
      <c r="H7" s="26" t="s">
        <v>64</v>
      </c>
    </row>
    <row r="8" spans="1:8" ht="15.6" x14ac:dyDescent="0.3">
      <c r="A8" s="27">
        <v>2018</v>
      </c>
      <c r="B8" s="27">
        <v>9</v>
      </c>
      <c r="C8" s="28">
        <v>1.17</v>
      </c>
      <c r="D8" s="29">
        <v>9.81</v>
      </c>
      <c r="E8" s="29">
        <v>-4.5999999999999999E-3</v>
      </c>
      <c r="F8" s="29">
        <v>2.7000000000000001E-3</v>
      </c>
      <c r="G8" s="39">
        <v>-1.6997834325933945E-3</v>
      </c>
      <c r="H8" s="36">
        <f>C8*G8</f>
        <v>-1.9887466161342716E-3</v>
      </c>
    </row>
    <row r="9" spans="1:8" ht="15.6" x14ac:dyDescent="0.3">
      <c r="A9" s="30">
        <v>2019</v>
      </c>
      <c r="B9" s="30">
        <v>10</v>
      </c>
      <c r="C9" s="31">
        <v>1.2</v>
      </c>
      <c r="D9" s="32">
        <v>7.28</v>
      </c>
      <c r="E9" s="32">
        <v>-4.4000000000000003E-3</v>
      </c>
      <c r="F9" s="32">
        <v>1.4E-3</v>
      </c>
      <c r="G9" s="39">
        <v>-1.0637289150613831E-3</v>
      </c>
      <c r="H9" s="36">
        <f t="shared" ref="H9:H25" si="0">C9*G9</f>
        <v>-1.2764746980736597E-3</v>
      </c>
    </row>
    <row r="10" spans="1:8" ht="15.6" x14ac:dyDescent="0.3">
      <c r="A10" s="27">
        <v>2020</v>
      </c>
      <c r="B10" s="27">
        <v>11</v>
      </c>
      <c r="C10" s="28">
        <v>1.22</v>
      </c>
      <c r="D10" s="29">
        <v>5.35</v>
      </c>
      <c r="E10" s="29">
        <v>-4.3E-3</v>
      </c>
      <c r="F10" s="29">
        <v>2.5000000000000001E-3</v>
      </c>
      <c r="G10" s="39">
        <v>-1.5808823529411763E-3</v>
      </c>
      <c r="H10" s="36">
        <f t="shared" si="0"/>
        <v>-1.9286764705882351E-3</v>
      </c>
    </row>
    <row r="11" spans="1:8" ht="15.6" x14ac:dyDescent="0.3">
      <c r="A11" s="30">
        <v>2021</v>
      </c>
      <c r="B11" s="30">
        <v>12</v>
      </c>
      <c r="C11" s="31">
        <v>1.18</v>
      </c>
      <c r="D11" s="32">
        <v>4.74</v>
      </c>
      <c r="E11" s="32">
        <v>-4.3E-3</v>
      </c>
      <c r="F11" s="32">
        <v>4.0000000000000002E-4</v>
      </c>
      <c r="G11" s="39">
        <v>-3.4914529914529917E-4</v>
      </c>
      <c r="H11" s="36">
        <f t="shared" si="0"/>
        <v>-4.11991452991453E-4</v>
      </c>
    </row>
    <row r="12" spans="1:8" ht="15.6" x14ac:dyDescent="0.3">
      <c r="A12" s="27">
        <v>2022</v>
      </c>
      <c r="B12" s="27">
        <v>13</v>
      </c>
      <c r="C12" s="28">
        <v>1.18</v>
      </c>
      <c r="D12" s="29">
        <v>4.84</v>
      </c>
      <c r="E12" s="29">
        <v>-4.4000000000000003E-3</v>
      </c>
      <c r="F12" s="29">
        <v>4.0000000000000002E-4</v>
      </c>
      <c r="G12" s="39">
        <v>-3.4979079497907952E-4</v>
      </c>
      <c r="H12" s="36">
        <f t="shared" si="0"/>
        <v>-4.1275313807531379E-4</v>
      </c>
    </row>
    <row r="13" spans="1:8" ht="15.6" x14ac:dyDescent="0.3">
      <c r="A13" s="30">
        <v>2023</v>
      </c>
      <c r="B13" s="30">
        <v>14</v>
      </c>
      <c r="C13" s="31">
        <v>1.18</v>
      </c>
      <c r="D13" s="32">
        <v>4.9400000000000004</v>
      </c>
      <c r="E13" s="32">
        <v>-4.1999999999999997E-3</v>
      </c>
      <c r="F13" s="32">
        <v>4.0000000000000002E-4</v>
      </c>
      <c r="G13" s="39">
        <v>-3.4847161572052404E-4</v>
      </c>
      <c r="H13" s="36">
        <f t="shared" si="0"/>
        <v>-4.1119650655021834E-4</v>
      </c>
    </row>
    <row r="14" spans="1:8" ht="15.6" x14ac:dyDescent="0.3">
      <c r="A14" s="27">
        <v>2024</v>
      </c>
      <c r="B14" s="27">
        <v>15</v>
      </c>
      <c r="C14" s="28">
        <v>1.18</v>
      </c>
      <c r="D14" s="29">
        <v>5.22</v>
      </c>
      <c r="E14" s="29">
        <v>-4.4000000000000003E-3</v>
      </c>
      <c r="F14" s="29">
        <v>4.0000000000000002E-4</v>
      </c>
      <c r="G14" s="39">
        <v>-3.4979079497907952E-4</v>
      </c>
      <c r="H14" s="36">
        <f t="shared" si="0"/>
        <v>-4.1275313807531379E-4</v>
      </c>
    </row>
    <row r="15" spans="1:8" ht="15.6" x14ac:dyDescent="0.3">
      <c r="A15" s="30">
        <v>2025</v>
      </c>
      <c r="B15" s="30">
        <v>16</v>
      </c>
      <c r="C15" s="31">
        <v>1.17</v>
      </c>
      <c r="D15" s="32">
        <v>5.65</v>
      </c>
      <c r="E15" s="32">
        <v>-4.7000000000000002E-3</v>
      </c>
      <c r="F15" s="32">
        <v>8.9300000000000004E-2</v>
      </c>
      <c r="G15" s="39">
        <v>-4.4649642802857582E-3</v>
      </c>
      <c r="H15" s="36">
        <f t="shared" si="0"/>
        <v>-5.2240082079343369E-3</v>
      </c>
    </row>
    <row r="16" spans="1:8" ht="15.6" x14ac:dyDescent="0.3">
      <c r="A16" s="27">
        <v>2026</v>
      </c>
      <c r="B16" s="27">
        <v>17</v>
      </c>
      <c r="C16" s="28">
        <v>1.17</v>
      </c>
      <c r="D16" s="29">
        <v>6.13</v>
      </c>
      <c r="E16" s="29">
        <v>-5.0000000000000001E-3</v>
      </c>
      <c r="F16" s="29">
        <v>8.9300000000000004E-2</v>
      </c>
      <c r="G16" s="39">
        <v>-4.734848484848485E-3</v>
      </c>
      <c r="H16" s="36">
        <f t="shared" si="0"/>
        <v>-5.5397727272727274E-3</v>
      </c>
    </row>
    <row r="17" spans="1:8" ht="15.6" x14ac:dyDescent="0.3">
      <c r="A17" s="30">
        <v>2027</v>
      </c>
      <c r="B17" s="30">
        <v>18</v>
      </c>
      <c r="C17" s="31">
        <v>1.17</v>
      </c>
      <c r="D17" s="32">
        <v>6.6</v>
      </c>
      <c r="E17" s="32">
        <v>-5.3E-3</v>
      </c>
      <c r="F17" s="32">
        <v>8.9300000000000004E-2</v>
      </c>
      <c r="G17" s="39">
        <v>-5.0030206917384083E-3</v>
      </c>
      <c r="H17" s="36">
        <f t="shared" si="0"/>
        <v>-5.853534209333937E-3</v>
      </c>
    </row>
    <row r="18" spans="1:8" ht="15.6" x14ac:dyDescent="0.3">
      <c r="A18" s="27">
        <v>2028</v>
      </c>
      <c r="B18" s="27">
        <v>19</v>
      </c>
      <c r="C18" s="28">
        <v>1.1499999999999999</v>
      </c>
      <c r="D18" s="29">
        <v>7.07</v>
      </c>
      <c r="E18" s="29">
        <v>-5.7000000000000002E-3</v>
      </c>
      <c r="F18" s="29">
        <v>8.9300000000000004E-2</v>
      </c>
      <c r="G18" s="39">
        <v>-5.3579485636937882E-3</v>
      </c>
      <c r="H18" s="36">
        <f t="shared" si="0"/>
        <v>-6.161640848247856E-3</v>
      </c>
    </row>
    <row r="19" spans="1:8" ht="15.6" x14ac:dyDescent="0.3">
      <c r="A19" s="30">
        <v>2029</v>
      </c>
      <c r="B19" s="30">
        <v>20</v>
      </c>
      <c r="C19" s="31">
        <v>1.1499999999999999</v>
      </c>
      <c r="D19" s="32">
        <v>7.54</v>
      </c>
      <c r="E19" s="32">
        <v>-6.1000000000000004E-3</v>
      </c>
      <c r="F19" s="32">
        <v>8.9300000000000004E-2</v>
      </c>
      <c r="G19" s="39">
        <v>-5.7098996555339223E-3</v>
      </c>
      <c r="H19" s="36">
        <f t="shared" si="0"/>
        <v>-6.5663846038640098E-3</v>
      </c>
    </row>
    <row r="20" spans="1:8" ht="15.6" x14ac:dyDescent="0.3">
      <c r="A20" s="27">
        <v>2030</v>
      </c>
      <c r="B20" s="27">
        <v>21</v>
      </c>
      <c r="C20" s="28">
        <v>1.17</v>
      </c>
      <c r="D20" s="29">
        <v>6.6</v>
      </c>
      <c r="E20" s="29">
        <v>-5.3E-3</v>
      </c>
      <c r="F20" s="29">
        <v>8.9300000000000004E-2</v>
      </c>
      <c r="G20" s="39">
        <v>-5.0030206917384083E-3</v>
      </c>
      <c r="H20" s="36">
        <f t="shared" si="0"/>
        <v>-5.853534209333937E-3</v>
      </c>
    </row>
    <row r="21" spans="1:8" ht="15.6" x14ac:dyDescent="0.3">
      <c r="A21" s="30">
        <v>2031</v>
      </c>
      <c r="B21" s="30">
        <v>22</v>
      </c>
      <c r="C21" s="31">
        <v>1.1499999999999999</v>
      </c>
      <c r="D21" s="32">
        <v>7.07</v>
      </c>
      <c r="E21" s="32">
        <v>-5.7000000000000002E-3</v>
      </c>
      <c r="F21" s="32">
        <v>8.9300000000000004E-2</v>
      </c>
      <c r="G21" s="39">
        <v>-5.3579485636937882E-3</v>
      </c>
      <c r="H21" s="36">
        <f t="shared" si="0"/>
        <v>-6.161640848247856E-3</v>
      </c>
    </row>
    <row r="22" spans="1:8" ht="15.6" x14ac:dyDescent="0.3">
      <c r="A22" s="27">
        <v>2032</v>
      </c>
      <c r="B22" s="27">
        <v>23</v>
      </c>
      <c r="C22" s="28">
        <v>1.1499999999999999</v>
      </c>
      <c r="D22" s="29">
        <v>7.54</v>
      </c>
      <c r="E22" s="29">
        <v>-6.1000000000000004E-3</v>
      </c>
      <c r="F22" s="29">
        <v>8.9300000000000004E-2</v>
      </c>
      <c r="G22" s="39">
        <v>-5.7098996555339223E-3</v>
      </c>
      <c r="H22" s="36">
        <f t="shared" si="0"/>
        <v>-6.5663846038640098E-3</v>
      </c>
    </row>
    <row r="23" spans="1:8" ht="15.6" x14ac:dyDescent="0.3">
      <c r="A23" s="30">
        <v>2033</v>
      </c>
      <c r="B23" s="30">
        <v>24</v>
      </c>
      <c r="C23" s="31">
        <v>1.17</v>
      </c>
      <c r="D23" s="32">
        <v>6.6</v>
      </c>
      <c r="E23" s="32">
        <v>-5.3E-3</v>
      </c>
      <c r="F23" s="32">
        <v>8.9300000000000004E-2</v>
      </c>
      <c r="G23" s="39">
        <v>-5.0030206917384083E-3</v>
      </c>
      <c r="H23" s="36">
        <f t="shared" si="0"/>
        <v>-5.853534209333937E-3</v>
      </c>
    </row>
    <row r="24" spans="1:8" ht="15.6" x14ac:dyDescent="0.3">
      <c r="A24" s="27">
        <v>2034</v>
      </c>
      <c r="B24" s="27">
        <v>25</v>
      </c>
      <c r="C24" s="28">
        <v>1.1499999999999999</v>
      </c>
      <c r="D24" s="29">
        <v>7.07</v>
      </c>
      <c r="E24" s="29">
        <v>-5.7000000000000002E-3</v>
      </c>
      <c r="F24" s="29">
        <v>8.9300000000000004E-2</v>
      </c>
      <c r="G24" s="39">
        <v>-5.3579485636937882E-3</v>
      </c>
      <c r="H24" s="36">
        <f t="shared" si="0"/>
        <v>-6.161640848247856E-3</v>
      </c>
    </row>
    <row r="25" spans="1:8" ht="16.2" thickBot="1" x14ac:dyDescent="0.35">
      <c r="A25" s="33">
        <v>2035</v>
      </c>
      <c r="B25" s="33">
        <v>26</v>
      </c>
      <c r="C25" s="34">
        <v>1.1499999999999999</v>
      </c>
      <c r="D25" s="35">
        <v>7.54</v>
      </c>
      <c r="E25" s="35">
        <v>-6.1000000000000004E-3</v>
      </c>
      <c r="F25" s="35">
        <v>8.9300000000000004E-2</v>
      </c>
      <c r="G25" s="39">
        <v>-5.7098996555339223E-3</v>
      </c>
      <c r="H25" s="36">
        <f t="shared" si="0"/>
        <v>-6.5663846038640098E-3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0"/>
  <sheetViews>
    <sheetView topLeftCell="A5" zoomScale="71" zoomScaleNormal="71" workbookViewId="0">
      <selection activeCell="A4" sqref="A1:O4"/>
    </sheetView>
  </sheetViews>
  <sheetFormatPr defaultRowHeight="14.4" x14ac:dyDescent="0.3"/>
  <cols>
    <col min="1" max="1" width="30.6640625" bestFit="1" customWidth="1"/>
    <col min="2" max="2" width="19.88671875" bestFit="1" customWidth="1"/>
    <col min="3" max="5" width="9.109375" bestFit="1" customWidth="1"/>
    <col min="6" max="6" width="10.109375" bestFit="1" customWidth="1"/>
    <col min="7" max="7" width="9.109375" bestFit="1" customWidth="1"/>
    <col min="8" max="8" width="10.109375" bestFit="1" customWidth="1"/>
    <col min="9" max="9" width="9.109375" bestFit="1" customWidth="1"/>
    <col min="10" max="15" width="10.109375" bestFit="1" customWidth="1"/>
  </cols>
  <sheetData>
    <row r="1" spans="1:15" ht="23.4" x14ac:dyDescent="0.45">
      <c r="A1" s="80" t="s">
        <v>82</v>
      </c>
    </row>
    <row r="2" spans="1:15" x14ac:dyDescent="0.3">
      <c r="A2" t="s">
        <v>83</v>
      </c>
    </row>
    <row r="4" spans="1:15" ht="20.399999999999999" thickBot="1" x14ac:dyDescent="0.45">
      <c r="A4" s="81" t="s">
        <v>143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5" thickTop="1" x14ac:dyDescent="0.3"/>
    <row r="6" spans="1:15" x14ac:dyDescent="0.3">
      <c r="A6" s="7" t="s">
        <v>73</v>
      </c>
    </row>
    <row r="7" spans="1:15" ht="15" thickBot="1" x14ac:dyDescent="0.35">
      <c r="A7" s="66" t="s">
        <v>24</v>
      </c>
      <c r="B7" s="120">
        <f>Summary!B7</f>
        <v>2018</v>
      </c>
      <c r="C7" s="8" t="s">
        <v>27</v>
      </c>
    </row>
    <row r="8" spans="1:15" ht="15.6" thickTop="1" thickBot="1" x14ac:dyDescent="0.35">
      <c r="A8" s="66" t="s">
        <v>25</v>
      </c>
      <c r="B8" s="120">
        <f>Summary!B8</f>
        <v>100</v>
      </c>
      <c r="C8" s="8" t="s">
        <v>81</v>
      </c>
    </row>
    <row r="9" spans="1:15" ht="15.6" thickTop="1" thickBot="1" x14ac:dyDescent="0.35">
      <c r="A9" s="66" t="s">
        <v>26</v>
      </c>
      <c r="B9" s="120">
        <f>Summary!B9</f>
        <v>0.5</v>
      </c>
      <c r="C9" s="8" t="s">
        <v>28</v>
      </c>
    </row>
    <row r="10" spans="1:15" ht="15" thickTop="1" x14ac:dyDescent="0.3">
      <c r="A10" s="7" t="s">
        <v>74</v>
      </c>
      <c r="B10" s="121"/>
      <c r="C10" s="8"/>
    </row>
    <row r="11" spans="1:15" ht="15" thickBot="1" x14ac:dyDescent="0.35">
      <c r="A11" s="67" t="s">
        <v>75</v>
      </c>
      <c r="B11" s="120">
        <f>Summary!B11</f>
        <v>0.08</v>
      </c>
      <c r="C11" s="70" t="s">
        <v>78</v>
      </c>
    </row>
    <row r="12" spans="1:15" ht="15.6" thickTop="1" thickBot="1" x14ac:dyDescent="0.35">
      <c r="A12" s="67" t="s">
        <v>76</v>
      </c>
      <c r="B12" s="120">
        <f>Summary!B12</f>
        <v>0.08</v>
      </c>
      <c r="C12" s="70" t="s">
        <v>79</v>
      </c>
    </row>
    <row r="13" spans="1:15" ht="15.6" thickTop="1" thickBot="1" x14ac:dyDescent="0.35">
      <c r="A13" s="67" t="s">
        <v>77</v>
      </c>
      <c r="B13" s="120">
        <f>Summary!B13</f>
        <v>1.6E-2</v>
      </c>
      <c r="C13" s="70" t="s">
        <v>80</v>
      </c>
    </row>
    <row r="14" spans="1:15" ht="15" thickTop="1" x14ac:dyDescent="0.3">
      <c r="A14" s="67"/>
    </row>
    <row r="15" spans="1:15" x14ac:dyDescent="0.3">
      <c r="A15" s="67"/>
    </row>
    <row r="16" spans="1:15" ht="20.399999999999999" thickBot="1" x14ac:dyDescent="0.45">
      <c r="A16" s="81" t="str">
        <f>"Blended Capacity DRIPE ($/kW-year) for "&amp;B7&amp;" Vintage, "&amp;B8&amp;" Year Program Duration, and "&amp;TEXT(B9,"0%")&amp;" Bid into Market"</f>
        <v>Blended Capacity DRIPE ($/kW-year) for 2018 Vintage, 100 Year Program Duration, and 50% Bid into Market</v>
      </c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</row>
    <row r="17" spans="1:15" ht="15" thickTop="1" x14ac:dyDescent="0.3">
      <c r="A17" s="67"/>
    </row>
    <row r="18" spans="1:15" x14ac:dyDescent="0.3">
      <c r="B18" s="281" t="s">
        <v>72</v>
      </c>
      <c r="C18" s="281"/>
      <c r="D18" s="281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</row>
    <row r="19" spans="1:15" x14ac:dyDescent="0.3">
      <c r="A19" s="41"/>
      <c r="B19" s="279" t="s">
        <v>66</v>
      </c>
      <c r="C19" s="279"/>
      <c r="D19" s="279"/>
      <c r="E19" s="279"/>
      <c r="F19" s="279"/>
      <c r="G19" s="279"/>
      <c r="H19" s="279"/>
      <c r="I19" s="280" t="s">
        <v>67</v>
      </c>
      <c r="J19" s="280"/>
      <c r="K19" s="280"/>
      <c r="L19" s="280"/>
      <c r="M19" s="280"/>
      <c r="N19" s="280"/>
      <c r="O19" s="280"/>
    </row>
    <row r="20" spans="1:15" x14ac:dyDescent="0.3">
      <c r="A20" s="56" t="s">
        <v>1</v>
      </c>
      <c r="B20" s="58" t="str">
        <f>'DRIPE - Cleared'!B6</f>
        <v>ISO NE CA</v>
      </c>
      <c r="C20" s="58" t="str">
        <f>'DRIPE - Cleared'!C6</f>
        <v>ME</v>
      </c>
      <c r="D20" s="58" t="str">
        <f>'DRIPE - Cleared'!D6</f>
        <v>NH</v>
      </c>
      <c r="E20" s="58" t="str">
        <f>'DRIPE - Cleared'!E6</f>
        <v>VT</v>
      </c>
      <c r="F20" s="58" t="str">
        <f>'DRIPE - Cleared'!F6</f>
        <v>CT</v>
      </c>
      <c r="G20" s="58" t="str">
        <f>'DRIPE - Cleared'!G6</f>
        <v>RI</v>
      </c>
      <c r="H20" s="58" t="str">
        <f>'DRIPE - Cleared'!H6</f>
        <v>MA</v>
      </c>
      <c r="I20" s="65" t="str">
        <f>B20</f>
        <v>ISO NE CA</v>
      </c>
      <c r="J20" s="65" t="str">
        <f t="shared" ref="J20:O20" si="0">C20</f>
        <v>ME</v>
      </c>
      <c r="K20" s="65" t="str">
        <f t="shared" si="0"/>
        <v>NH</v>
      </c>
      <c r="L20" s="65" t="str">
        <f t="shared" si="0"/>
        <v>VT</v>
      </c>
      <c r="M20" s="65" t="str">
        <f t="shared" si="0"/>
        <v>CT</v>
      </c>
      <c r="N20" s="65" t="str">
        <f t="shared" si="0"/>
        <v>RI</v>
      </c>
      <c r="O20" s="65" t="str">
        <f t="shared" si="0"/>
        <v>MA</v>
      </c>
    </row>
    <row r="21" spans="1:15" x14ac:dyDescent="0.3">
      <c r="A21" s="5">
        <f>'DRIPE - Cleared'!A7</f>
        <v>2018</v>
      </c>
      <c r="B21" s="59">
        <f>$B$9*'DRIPE - Cleared'!B7 + (1-$B$9)*'DRIPE - Uncleared'!B7</f>
        <v>262.951948620792</v>
      </c>
      <c r="C21" s="59">
        <f>$B$9*'DRIPE - Cleared'!C7 + (1-$B$9)*'DRIPE - Uncleared'!C7</f>
        <v>21.184800189103829</v>
      </c>
      <c r="D21" s="59">
        <f>$B$9*'DRIPE - Cleared'!D7 + (1-$B$9)*'DRIPE - Uncleared'!D7</f>
        <v>26.414053573664447</v>
      </c>
      <c r="E21" s="59">
        <f>$B$9*'DRIPE - Cleared'!E7 + (1-$B$9)*'DRIPE - Uncleared'!E7</f>
        <v>2.5667610484977459</v>
      </c>
      <c r="F21" s="59">
        <f>$B$9*'DRIPE - Cleared'!F7 + (1-$B$9)*'DRIPE - Uncleared'!F7</f>
        <v>63.488279602288259</v>
      </c>
      <c r="G21" s="59">
        <f>$B$9*'DRIPE - Cleared'!G7 + (1-$B$9)*'DRIPE - Uncleared'!G7</f>
        <v>5.3831078370026066</v>
      </c>
      <c r="H21" s="59">
        <f>$B$9*'DRIPE - Cleared'!H7 + (1-$B$9)*'DRIPE - Uncleared'!H7</f>
        <v>129.40565002284808</v>
      </c>
      <c r="I21" s="60">
        <f>$B$9*'DRIPE - Cleared'!I7 + (1-$B$9)*'DRIPE - Uncleared'!I7</f>
        <v>0</v>
      </c>
      <c r="J21" s="60">
        <f>$B$9*'DRIPE - Cleared'!J7 + (1-$B$9)*'DRIPE - Uncleared'!J7</f>
        <v>241.76714843168816</v>
      </c>
      <c r="K21" s="60">
        <f>$B$9*'DRIPE - Cleared'!K7 + (1-$B$9)*'DRIPE - Uncleared'!K7</f>
        <v>236.53789504712756</v>
      </c>
      <c r="L21" s="60">
        <f>$B$9*'DRIPE - Cleared'!L7 + (1-$B$9)*'DRIPE - Uncleared'!L7</f>
        <v>260.38518757229423</v>
      </c>
      <c r="M21" s="60">
        <f>$B$9*'DRIPE - Cleared'!M7 + (1-$B$9)*'DRIPE - Uncleared'!M7</f>
        <v>199.46366901850374</v>
      </c>
      <c r="N21" s="60">
        <f>$B$9*'DRIPE - Cleared'!N7 + (1-$B$9)*'DRIPE - Uncleared'!N7</f>
        <v>257.56884078378937</v>
      </c>
      <c r="O21" s="60">
        <f>$B$9*'DRIPE - Cleared'!O7 + (1-$B$9)*'DRIPE - Uncleared'!O7</f>
        <v>133.54629859794392</v>
      </c>
    </row>
    <row r="22" spans="1:15" x14ac:dyDescent="0.3">
      <c r="A22" s="5">
        <f>'DRIPE - Cleared'!A8</f>
        <v>2019</v>
      </c>
      <c r="B22" s="59">
        <f>$B$9*'DRIPE - Cleared'!B8 + (1-$B$9)*'DRIPE - Uncleared'!B8</f>
        <v>137.70335395255503</v>
      </c>
      <c r="C22" s="59">
        <f>$B$9*'DRIPE - Cleared'!C8 + (1-$B$9)*'DRIPE - Uncleared'!C8</f>
        <v>11.099346966062402</v>
      </c>
      <c r="D22" s="59">
        <f>$B$9*'DRIPE - Cleared'!D8 + (1-$B$9)*'DRIPE - Uncleared'!D8</f>
        <v>13.912222726760735</v>
      </c>
      <c r="E22" s="59">
        <f>$B$9*'DRIPE - Cleared'!E8 + (1-$B$9)*'DRIPE - Uncleared'!E8</f>
        <v>1.2728771796941962</v>
      </c>
      <c r="F22" s="59">
        <f>$B$9*'DRIPE - Cleared'!F8 + (1-$B$9)*'DRIPE - Uncleared'!F8</f>
        <v>32.985433379141639</v>
      </c>
      <c r="G22" s="59">
        <f>$B$9*'DRIPE - Cleared'!G8 + (1-$B$9)*'DRIPE - Uncleared'!G8</f>
        <v>2.6879906468973087</v>
      </c>
      <c r="H22" s="59">
        <f>$B$9*'DRIPE - Cleared'!H8 + (1-$B$9)*'DRIPE - Uncleared'!H8</f>
        <v>68.013554400707193</v>
      </c>
      <c r="I22" s="60">
        <f>$B$9*'DRIPE - Cleared'!I8 + (1-$B$9)*'DRIPE - Uncleared'!I8</f>
        <v>0</v>
      </c>
      <c r="J22" s="60">
        <f>$B$9*'DRIPE - Cleared'!J8 + (1-$B$9)*'DRIPE - Uncleared'!J8</f>
        <v>126.60400698649264</v>
      </c>
      <c r="K22" s="60">
        <f>$B$9*'DRIPE - Cleared'!K8 + (1-$B$9)*'DRIPE - Uncleared'!K8</f>
        <v>123.7911312257943</v>
      </c>
      <c r="L22" s="60">
        <f>$B$9*'DRIPE - Cleared'!L8 + (1-$B$9)*'DRIPE - Uncleared'!L8</f>
        <v>136.43047677286083</v>
      </c>
      <c r="M22" s="60">
        <f>$B$9*'DRIPE - Cleared'!M8 + (1-$B$9)*'DRIPE - Uncleared'!M8</f>
        <v>104.71792057341339</v>
      </c>
      <c r="N22" s="60">
        <f>$B$9*'DRIPE - Cleared'!N8 + (1-$B$9)*'DRIPE - Uncleared'!N8</f>
        <v>135.01536330565773</v>
      </c>
      <c r="O22" s="60">
        <f>$B$9*'DRIPE - Cleared'!O8 + (1-$B$9)*'DRIPE - Uncleared'!O8</f>
        <v>69.689799551847841</v>
      </c>
    </row>
    <row r="23" spans="1:15" x14ac:dyDescent="0.3">
      <c r="A23" s="5">
        <f>'DRIPE - Cleared'!A9</f>
        <v>2020</v>
      </c>
      <c r="B23" s="59">
        <f>$B$9*'DRIPE - Cleared'!B9 + (1-$B$9)*'DRIPE - Uncleared'!B9</f>
        <v>167.58597661950844</v>
      </c>
      <c r="C23" s="59">
        <f>$B$9*'DRIPE - Cleared'!C9 + (1-$B$9)*'DRIPE - Uncleared'!C9</f>
        <v>13.438135031816293</v>
      </c>
      <c r="D23" s="59">
        <f>$B$9*'DRIPE - Cleared'!D9 + (1-$B$9)*'DRIPE - Uncleared'!D9</f>
        <v>16.882197804919116</v>
      </c>
      <c r="E23" s="59">
        <f>$B$9*'DRIPE - Cleared'!E9 + (1-$B$9)*'DRIPE - Uncleared'!E9</f>
        <v>1.5579813634896893</v>
      </c>
      <c r="F23" s="59">
        <f>$B$9*'DRIPE - Cleared'!F9 + (1-$B$9)*'DRIPE - Uncleared'!F9</f>
        <v>40.245502603570273</v>
      </c>
      <c r="G23" s="59">
        <f>$B$9*'DRIPE - Cleared'!G9 + (1-$B$9)*'DRIPE - Uncleared'!G9</f>
        <v>3.3193095993311235</v>
      </c>
      <c r="H23" s="59">
        <f>$B$9*'DRIPE - Cleared'!H9 + (1-$B$9)*'DRIPE - Uncleared'!H9</f>
        <v>82.842670562028729</v>
      </c>
      <c r="I23" s="60">
        <f>$B$9*'DRIPE - Cleared'!I9 + (1-$B$9)*'DRIPE - Uncleared'!I9</f>
        <v>0</v>
      </c>
      <c r="J23" s="60">
        <f>$B$9*'DRIPE - Cleared'!J9 + (1-$B$9)*'DRIPE - Uncleared'!J9</f>
        <v>154.14784158769214</v>
      </c>
      <c r="K23" s="60">
        <f>$B$9*'DRIPE - Cleared'!K9 + (1-$B$9)*'DRIPE - Uncleared'!K9</f>
        <v>150.70377881458933</v>
      </c>
      <c r="L23" s="60">
        <f>$B$9*'DRIPE - Cleared'!L9 + (1-$B$9)*'DRIPE - Uncleared'!L9</f>
        <v>166.02799525601876</v>
      </c>
      <c r="M23" s="60">
        <f>$B$9*'DRIPE - Cleared'!M9 + (1-$B$9)*'DRIPE - Uncleared'!M9</f>
        <v>127.34047401593817</v>
      </c>
      <c r="N23" s="60">
        <f>$B$9*'DRIPE - Cleared'!N9 + (1-$B$9)*'DRIPE - Uncleared'!N9</f>
        <v>164.26666702017732</v>
      </c>
      <c r="O23" s="60">
        <f>$B$9*'DRIPE - Cleared'!O9 + (1-$B$9)*'DRIPE - Uncleared'!O9</f>
        <v>84.743306057479714</v>
      </c>
    </row>
    <row r="24" spans="1:15" x14ac:dyDescent="0.3">
      <c r="A24" s="5">
        <f>'DRIPE - Cleared'!A10</f>
        <v>2021</v>
      </c>
      <c r="B24" s="59">
        <f>$B$9*'DRIPE - Cleared'!B10 + (1-$B$9)*'DRIPE - Uncleared'!B10</f>
        <v>27.917536572152308</v>
      </c>
      <c r="C24" s="59">
        <f>$B$9*'DRIPE - Cleared'!C10 + (1-$B$9)*'DRIPE - Uncleared'!C10</f>
        <v>2.236394300093</v>
      </c>
      <c r="D24" s="59">
        <f>$B$9*'DRIPE - Cleared'!D10 + (1-$B$9)*'DRIPE - Uncleared'!D10</f>
        <v>2.808901549896317</v>
      </c>
      <c r="E24" s="59">
        <f>$B$9*'DRIPE - Cleared'!E10 + (1-$B$9)*'DRIPE - Uncleared'!E10</f>
        <v>0.28924175474204727</v>
      </c>
      <c r="F24" s="59">
        <f>$B$9*'DRIPE - Cleared'!F10 + (1-$B$9)*'DRIPE - Uncleared'!F10</f>
        <v>6.6707459218300329</v>
      </c>
      <c r="G24" s="59">
        <f>$B$9*'DRIPE - Cleared'!G10 + (1-$B$9)*'DRIPE - Uncleared'!G10</f>
        <v>0.62070556468351601</v>
      </c>
      <c r="H24" s="59">
        <f>$B$9*'DRIPE - Cleared'!H10 + (1-$B$9)*'DRIPE - Uncleared'!H10</f>
        <v>13.812289059398116</v>
      </c>
      <c r="I24" s="60">
        <f>$B$9*'DRIPE - Cleared'!I10 + (1-$B$9)*'DRIPE - Uncleared'!I10</f>
        <v>0</v>
      </c>
      <c r="J24" s="60">
        <f>$B$9*'DRIPE - Cleared'!J10 + (1-$B$9)*'DRIPE - Uncleared'!J10</f>
        <v>25.681142272059308</v>
      </c>
      <c r="K24" s="60">
        <f>$B$9*'DRIPE - Cleared'!K10 + (1-$B$9)*'DRIPE - Uncleared'!K10</f>
        <v>25.108635022255992</v>
      </c>
      <c r="L24" s="60">
        <f>$B$9*'DRIPE - Cleared'!L10 + (1-$B$9)*'DRIPE - Uncleared'!L10</f>
        <v>27.628294817410261</v>
      </c>
      <c r="M24" s="60">
        <f>$B$9*'DRIPE - Cleared'!M10 + (1-$B$9)*'DRIPE - Uncleared'!M10</f>
        <v>21.246790650322275</v>
      </c>
      <c r="N24" s="60">
        <f>$B$9*'DRIPE - Cleared'!N10 + (1-$B$9)*'DRIPE - Uncleared'!N10</f>
        <v>27.296831007468793</v>
      </c>
      <c r="O24" s="60">
        <f>$B$9*'DRIPE - Cleared'!O10 + (1-$B$9)*'DRIPE - Uncleared'!O10</f>
        <v>14.105247512754191</v>
      </c>
    </row>
    <row r="25" spans="1:15" x14ac:dyDescent="0.3">
      <c r="A25" s="5">
        <f>'DRIPE - Cleared'!A11</f>
        <v>2022</v>
      </c>
      <c r="B25" s="59">
        <f>$B$9*'DRIPE - Cleared'!B11 + (1-$B$9)*'DRIPE - Uncleared'!B11</f>
        <v>18.663724224113082</v>
      </c>
      <c r="C25" s="59">
        <f>$B$9*'DRIPE - Cleared'!C11 + (1-$B$9)*'DRIPE - Uncleared'!C11</f>
        <v>1.4960622487124595</v>
      </c>
      <c r="D25" s="59">
        <f>$B$9*'DRIPE - Cleared'!D11 + (1-$B$9)*'DRIPE - Uncleared'!D11</f>
        <v>1.877357863284518</v>
      </c>
      <c r="E25" s="59">
        <f>$B$9*'DRIPE - Cleared'!E11 + (1-$B$9)*'DRIPE - Uncleared'!E11</f>
        <v>0.20683741911547379</v>
      </c>
      <c r="F25" s="59">
        <f>$B$9*'DRIPE - Cleared'!F11 + (1-$B$9)*'DRIPE - Uncleared'!F11</f>
        <v>4.4380211393016173</v>
      </c>
      <c r="G25" s="59">
        <f>$B$9*'DRIPE - Cleared'!G11 + (1-$B$9)*'DRIPE - Uncleared'!G11</f>
        <v>0.44702625828442411</v>
      </c>
      <c r="H25" s="59">
        <f>$B$9*'DRIPE - Cleared'!H11 + (1-$B$9)*'DRIPE - Uncleared'!H11</f>
        <v>9.2415013382557358</v>
      </c>
      <c r="I25" s="60">
        <f>$B$9*'DRIPE - Cleared'!I11 + (1-$B$9)*'DRIPE - Uncleared'!I11</f>
        <v>0</v>
      </c>
      <c r="J25" s="60">
        <f>$B$9*'DRIPE - Cleared'!J11 + (1-$B$9)*'DRIPE - Uncleared'!J11</f>
        <v>17.167661975400623</v>
      </c>
      <c r="K25" s="60">
        <f>$B$9*'DRIPE - Cleared'!K11 + (1-$B$9)*'DRIPE - Uncleared'!K11</f>
        <v>16.786366360828563</v>
      </c>
      <c r="L25" s="60">
        <f>$B$9*'DRIPE - Cleared'!L11 + (1-$B$9)*'DRIPE - Uncleared'!L11</f>
        <v>18.456886804997609</v>
      </c>
      <c r="M25" s="60">
        <f>$B$9*'DRIPE - Cleared'!M11 + (1-$B$9)*'DRIPE - Uncleared'!M11</f>
        <v>14.225703084811464</v>
      </c>
      <c r="N25" s="60">
        <f>$B$9*'DRIPE - Cleared'!N11 + (1-$B$9)*'DRIPE - Uncleared'!N11</f>
        <v>18.216697965828658</v>
      </c>
      <c r="O25" s="60">
        <f>$B$9*'DRIPE - Cleared'!O11 + (1-$B$9)*'DRIPE - Uncleared'!O11</f>
        <v>9.4222228858573462</v>
      </c>
    </row>
    <row r="26" spans="1:15" x14ac:dyDescent="0.3">
      <c r="A26" s="5">
        <f>'DRIPE - Cleared'!A12</f>
        <v>2023</v>
      </c>
      <c r="B26" s="59">
        <f>$B$9*'DRIPE - Cleared'!B12 + (1-$B$9)*'DRIPE - Uncleared'!B12</f>
        <v>31.794731382873564</v>
      </c>
      <c r="C26" s="59">
        <f>$B$9*'DRIPE - Cleared'!C12 + (1-$B$9)*'DRIPE - Uncleared'!C12</f>
        <v>2.5514239925262387</v>
      </c>
      <c r="D26" s="59">
        <f>$B$9*'DRIPE - Cleared'!D12 + (1-$B$9)*'DRIPE - Uncleared'!D12</f>
        <v>3.2006617373362314</v>
      </c>
      <c r="E26" s="59">
        <f>$B$9*'DRIPE - Cleared'!E12 + (1-$B$9)*'DRIPE - Uncleared'!E12</f>
        <v>0.35176483571104672</v>
      </c>
      <c r="F26" s="59">
        <f>$B$9*'DRIPE - Cleared'!F12 + (1-$B$9)*'DRIPE - Uncleared'!F12</f>
        <v>7.5300568255086002</v>
      </c>
      <c r="G26" s="59">
        <f>$B$9*'DRIPE - Cleared'!G12 + (1-$B$9)*'DRIPE - Uncleared'!G12</f>
        <v>0.76638537154150266</v>
      </c>
      <c r="H26" s="59">
        <f>$B$9*'DRIPE - Cleared'!H12 + (1-$B$9)*'DRIPE - Uncleared'!H12</f>
        <v>15.767455972759494</v>
      </c>
      <c r="I26" s="60">
        <f>$B$9*'DRIPE - Cleared'!I12 + (1-$B$9)*'DRIPE - Uncleared'!I12</f>
        <v>0</v>
      </c>
      <c r="J26" s="60">
        <f>$B$9*'DRIPE - Cleared'!J12 + (1-$B$9)*'DRIPE - Uncleared'!J12</f>
        <v>29.243307390347326</v>
      </c>
      <c r="K26" s="60">
        <f>$B$9*'DRIPE - Cleared'!K12 + (1-$B$9)*'DRIPE - Uncleared'!K12</f>
        <v>28.594069645537331</v>
      </c>
      <c r="L26" s="60">
        <f>$B$9*'DRIPE - Cleared'!L12 + (1-$B$9)*'DRIPE - Uncleared'!L12</f>
        <v>31.442966547162513</v>
      </c>
      <c r="M26" s="60">
        <f>$B$9*'DRIPE - Cleared'!M12 + (1-$B$9)*'DRIPE - Uncleared'!M12</f>
        <v>24.264674557364962</v>
      </c>
      <c r="N26" s="60">
        <f>$B$9*'DRIPE - Cleared'!N12 + (1-$B$9)*'DRIPE - Uncleared'!N12</f>
        <v>31.028346011332061</v>
      </c>
      <c r="O26" s="60">
        <f>$B$9*'DRIPE - Cleared'!O12 + (1-$B$9)*'DRIPE - Uncleared'!O12</f>
        <v>16.027275410114068</v>
      </c>
    </row>
    <row r="27" spans="1:15" x14ac:dyDescent="0.3">
      <c r="A27" s="5">
        <f>'DRIPE - Cleared'!A13</f>
        <v>2024</v>
      </c>
      <c r="B27" s="59">
        <f>$B$9*'DRIPE - Cleared'!B13 + (1-$B$9)*'DRIPE - Uncleared'!B13</f>
        <v>33.666275212659244</v>
      </c>
      <c r="C27" s="59">
        <f>$B$9*'DRIPE - Cleared'!C13 + (1-$B$9)*'DRIPE - Uncleared'!C13</f>
        <v>2.702846893495559</v>
      </c>
      <c r="D27" s="59">
        <f>$B$9*'DRIPE - Cleared'!D13 + (1-$B$9)*'DRIPE - Uncleared'!D13</f>
        <v>3.3951838421934046</v>
      </c>
      <c r="E27" s="59">
        <f>$B$9*'DRIPE - Cleared'!E13 + (1-$B$9)*'DRIPE - Uncleared'!E13</f>
        <v>0.37153926716464925</v>
      </c>
      <c r="F27" s="59">
        <f>$B$9*'DRIPE - Cleared'!F13 + (1-$B$9)*'DRIPE - Uncleared'!F13</f>
        <v>7.9370466210676343</v>
      </c>
      <c r="G27" s="59">
        <f>$B$9*'DRIPE - Cleared'!G13 + (1-$B$9)*'DRIPE - Uncleared'!G13</f>
        <v>0.81597110993302158</v>
      </c>
      <c r="H27" s="59">
        <f>$B$9*'DRIPE - Cleared'!H13 + (1-$B$9)*'DRIPE - Uncleared'!H13</f>
        <v>16.725255417965247</v>
      </c>
      <c r="I27" s="60">
        <f>$B$9*'DRIPE - Cleared'!I13 + (1-$B$9)*'DRIPE - Uncleared'!I13</f>
        <v>0</v>
      </c>
      <c r="J27" s="60">
        <f>$B$9*'DRIPE - Cleared'!J13 + (1-$B$9)*'DRIPE - Uncleared'!J13</f>
        <v>30.963428319163686</v>
      </c>
      <c r="K27" s="60">
        <f>$B$9*'DRIPE - Cleared'!K13 + (1-$B$9)*'DRIPE - Uncleared'!K13</f>
        <v>30.27109137046584</v>
      </c>
      <c r="L27" s="60">
        <f>$B$9*'DRIPE - Cleared'!L13 + (1-$B$9)*'DRIPE - Uncleared'!L13</f>
        <v>33.294735945494594</v>
      </c>
      <c r="M27" s="60">
        <f>$B$9*'DRIPE - Cleared'!M13 + (1-$B$9)*'DRIPE - Uncleared'!M13</f>
        <v>25.72922859159161</v>
      </c>
      <c r="N27" s="60">
        <f>$B$9*'DRIPE - Cleared'!N13 + (1-$B$9)*'DRIPE - Uncleared'!N13</f>
        <v>32.85030410272622</v>
      </c>
      <c r="O27" s="60">
        <f>$B$9*'DRIPE - Cleared'!O13 + (1-$B$9)*'DRIPE - Uncleared'!O13</f>
        <v>16.941019794693997</v>
      </c>
    </row>
    <row r="28" spans="1:15" x14ac:dyDescent="0.3">
      <c r="A28" s="5">
        <f>'DRIPE - Cleared'!A14</f>
        <v>2025</v>
      </c>
      <c r="B28" s="59">
        <f>$B$9*'DRIPE - Cleared'!B14 + (1-$B$9)*'DRIPE - Uncleared'!B14</f>
        <v>546.45453286409179</v>
      </c>
      <c r="C28" s="59">
        <f>$B$9*'DRIPE - Cleared'!C14 + (1-$B$9)*'DRIPE - Uncleared'!C14</f>
        <v>43.80106265385637</v>
      </c>
      <c r="D28" s="59">
        <f>$B$9*'DRIPE - Cleared'!D14 + (1-$B$9)*'DRIPE - Uncleared'!D14</f>
        <v>54.950242180361798</v>
      </c>
      <c r="E28" s="59">
        <f>$B$9*'DRIPE - Cleared'!E14 + (1-$B$9)*'DRIPE - Uncleared'!E14</f>
        <v>5.9988886680776865</v>
      </c>
      <c r="F28" s="59">
        <f>$B$9*'DRIPE - Cleared'!F14 + (1-$B$9)*'DRIPE - Uncleared'!F14</f>
        <v>129.11214562588478</v>
      </c>
      <c r="G28" s="59">
        <f>$B$9*'DRIPE - Cleared'!G14 + (1-$B$9)*'DRIPE - Uncleared'!G14</f>
        <v>13.28392750142398</v>
      </c>
      <c r="H28" s="59">
        <f>$B$9*'DRIPE - Cleared'!H14 + (1-$B$9)*'DRIPE - Uncleared'!H14</f>
        <v>271.51788689205875</v>
      </c>
      <c r="I28" s="60">
        <f>$B$9*'DRIPE - Cleared'!I14 + (1-$B$9)*'DRIPE - Uncleared'!I14</f>
        <v>0</v>
      </c>
      <c r="J28" s="60">
        <f>$B$9*'DRIPE - Cleared'!J14 + (1-$B$9)*'DRIPE - Uncleared'!J14</f>
        <v>502.65347021023541</v>
      </c>
      <c r="K28" s="60">
        <f>$B$9*'DRIPE - Cleared'!K14 + (1-$B$9)*'DRIPE - Uncleared'!K14</f>
        <v>491.50429068373001</v>
      </c>
      <c r="L28" s="60">
        <f>$B$9*'DRIPE - Cleared'!L14 + (1-$B$9)*'DRIPE - Uncleared'!L14</f>
        <v>540.45564419601408</v>
      </c>
      <c r="M28" s="60">
        <f>$B$9*'DRIPE - Cleared'!M14 + (1-$B$9)*'DRIPE - Uncleared'!M14</f>
        <v>417.34238723820704</v>
      </c>
      <c r="N28" s="60">
        <f>$B$9*'DRIPE - Cleared'!N14 + (1-$B$9)*'DRIPE - Uncleared'!N14</f>
        <v>533.17060536266786</v>
      </c>
      <c r="O28" s="60">
        <f>$B$9*'DRIPE - Cleared'!O14 + (1-$B$9)*'DRIPE - Uncleared'!O14</f>
        <v>274.93664597203303</v>
      </c>
    </row>
    <row r="29" spans="1:15" x14ac:dyDescent="0.3">
      <c r="A29" s="5">
        <f>'DRIPE - Cleared'!A15</f>
        <v>2026</v>
      </c>
      <c r="B29" s="59">
        <f>$B$9*'DRIPE - Cleared'!B15 + (1-$B$9)*'DRIPE - Uncleared'!B15</f>
        <v>667.78217774371922</v>
      </c>
      <c r="C29" s="59">
        <f>$B$9*'DRIPE - Cleared'!C15 + (1-$B$9)*'DRIPE - Uncleared'!C15</f>
        <v>53.512283127612768</v>
      </c>
      <c r="D29" s="59">
        <f>$B$9*'DRIPE - Cleared'!D15 + (1-$B$9)*'DRIPE - Uncleared'!D15</f>
        <v>67.107257431091682</v>
      </c>
      <c r="E29" s="59">
        <f>$B$9*'DRIPE - Cleared'!E15 + (1-$B$9)*'DRIPE - Uncleared'!E15</f>
        <v>7.3356428915696181</v>
      </c>
      <c r="F29" s="59">
        <f>$B$9*'DRIPE - Cleared'!F15 + (1-$B$9)*'DRIPE - Uncleared'!F15</f>
        <v>157.11883526605948</v>
      </c>
      <c r="G29" s="59">
        <f>$B$9*'DRIPE - Cleared'!G15 + (1-$B$9)*'DRIPE - Uncleared'!G15</f>
        <v>16.356646722809923</v>
      </c>
      <c r="H29" s="59">
        <f>$B$9*'DRIPE - Cleared'!H15 + (1-$B$9)*'DRIPE - Uncleared'!H15</f>
        <v>332.49941746616918</v>
      </c>
      <c r="I29" s="60">
        <f>$B$9*'DRIPE - Cleared'!I15 + (1-$B$9)*'DRIPE - Uncleared'!I15</f>
        <v>0</v>
      </c>
      <c r="J29" s="60">
        <f>$B$9*'DRIPE - Cleared'!J15 + (1-$B$9)*'DRIPE - Uncleared'!J15</f>
        <v>614.2698946161064</v>
      </c>
      <c r="K29" s="60">
        <f>$B$9*'DRIPE - Cleared'!K15 + (1-$B$9)*'DRIPE - Uncleared'!K15</f>
        <v>600.67492031262759</v>
      </c>
      <c r="L29" s="60">
        <f>$B$9*'DRIPE - Cleared'!L15 + (1-$B$9)*'DRIPE - Uncleared'!L15</f>
        <v>660.44653485214963</v>
      </c>
      <c r="M29" s="60">
        <f>$B$9*'DRIPE - Cleared'!M15 + (1-$B$9)*'DRIPE - Uncleared'!M15</f>
        <v>510.66334247765974</v>
      </c>
      <c r="N29" s="60">
        <f>$B$9*'DRIPE - Cleared'!N15 + (1-$B$9)*'DRIPE - Uncleared'!N15</f>
        <v>651.42553102090926</v>
      </c>
      <c r="O29" s="60">
        <f>$B$9*'DRIPE - Cleared'!O15 + (1-$B$9)*'DRIPE - Uncleared'!O15</f>
        <v>335.28276027755004</v>
      </c>
    </row>
    <row r="30" spans="1:15" x14ac:dyDescent="0.3">
      <c r="A30" s="5">
        <f>'DRIPE - Cleared'!A16</f>
        <v>2027</v>
      </c>
      <c r="B30" s="59">
        <f>$B$9*'DRIPE - Cleared'!B16 + (1-$B$9)*'DRIPE - Uncleared'!B16</f>
        <v>651.32677362170159</v>
      </c>
      <c r="C30" s="59">
        <f>$B$9*'DRIPE - Cleared'!C16 + (1-$B$9)*'DRIPE - Uncleared'!C16</f>
        <v>52.193640202262571</v>
      </c>
      <c r="D30" s="59">
        <f>$B$9*'DRIPE - Cleared'!D16 + (1-$B$9)*'DRIPE - Uncleared'!D16</f>
        <v>65.453608865207556</v>
      </c>
      <c r="E30" s="59">
        <f>$B$9*'DRIPE - Cleared'!E16 + (1-$B$9)*'DRIPE - Uncleared'!E16</f>
        <v>7.1548789054994328</v>
      </c>
      <c r="F30" s="59">
        <f>$B$9*'DRIPE - Cleared'!F16 + (1-$B$9)*'DRIPE - Uncleared'!F16</f>
        <v>153.24713276237873</v>
      </c>
      <c r="G30" s="59">
        <f>$B$9*'DRIPE - Cleared'!G16 + (1-$B$9)*'DRIPE - Uncleared'!G16</f>
        <v>15.95358829915698</v>
      </c>
      <c r="H30" s="59">
        <f>$B$9*'DRIPE - Cleared'!H16 + (1-$B$9)*'DRIPE - Uncleared'!H16</f>
        <v>324.3060087962524</v>
      </c>
      <c r="I30" s="60">
        <f>$B$9*'DRIPE - Cleared'!I16 + (1-$B$9)*'DRIPE - Uncleared'!I16</f>
        <v>0</v>
      </c>
      <c r="J30" s="60">
        <f>$B$9*'DRIPE - Cleared'!J16 + (1-$B$9)*'DRIPE - Uncleared'!J16</f>
        <v>599.13313341943899</v>
      </c>
      <c r="K30" s="60">
        <f>$B$9*'DRIPE - Cleared'!K16 + (1-$B$9)*'DRIPE - Uncleared'!K16</f>
        <v>585.87316475649402</v>
      </c>
      <c r="L30" s="60">
        <f>$B$9*'DRIPE - Cleared'!L16 + (1-$B$9)*'DRIPE - Uncleared'!L16</f>
        <v>644.17189471620213</v>
      </c>
      <c r="M30" s="60">
        <f>$B$9*'DRIPE - Cleared'!M16 + (1-$B$9)*'DRIPE - Uncleared'!M16</f>
        <v>498.07964085932286</v>
      </c>
      <c r="N30" s="60">
        <f>$B$9*'DRIPE - Cleared'!N16 + (1-$B$9)*'DRIPE - Uncleared'!N16</f>
        <v>635.3731853225446</v>
      </c>
      <c r="O30" s="60">
        <f>$B$9*'DRIPE - Cleared'!O16 + (1-$B$9)*'DRIPE - Uncleared'!O16</f>
        <v>327.02076482544919</v>
      </c>
    </row>
    <row r="31" spans="1:15" x14ac:dyDescent="0.3">
      <c r="A31" s="5">
        <f>'DRIPE - Cleared'!A17</f>
        <v>2028</v>
      </c>
      <c r="B31" s="59">
        <f>$B$9*'DRIPE - Cleared'!B17 + (1-$B$9)*'DRIPE - Uncleared'!B17</f>
        <v>491.35384124784343</v>
      </c>
      <c r="C31" s="59">
        <f>$B$9*'DRIPE - Cleared'!C17 + (1-$B$9)*'DRIPE - Uncleared'!C17</f>
        <v>39.374315076113902</v>
      </c>
      <c r="D31" s="59">
        <f>$B$9*'DRIPE - Cleared'!D17 + (1-$B$9)*'DRIPE - Uncleared'!D17</f>
        <v>49.377491363702269</v>
      </c>
      <c r="E31" s="59">
        <f>$B$9*'DRIPE - Cleared'!E17 + (1-$B$9)*'DRIPE - Uncleared'!E17</f>
        <v>5.3975629073743576</v>
      </c>
      <c r="F31" s="59">
        <f>$B$9*'DRIPE - Cleared'!F17 + (1-$B$9)*'DRIPE - Uncleared'!F17</f>
        <v>115.607971900672</v>
      </c>
      <c r="G31" s="59">
        <f>$B$9*'DRIPE - Cleared'!G17 + (1-$B$9)*'DRIPE - Uncleared'!G17</f>
        <v>12.035213674526965</v>
      </c>
      <c r="H31" s="59">
        <f>$B$9*'DRIPE - Cleared'!H17 + (1-$B$9)*'DRIPE - Uncleared'!H17</f>
        <v>244.65292939784374</v>
      </c>
      <c r="I31" s="60">
        <f>$B$9*'DRIPE - Cleared'!I17 + (1-$B$9)*'DRIPE - Uncleared'!I17</f>
        <v>0</v>
      </c>
      <c r="J31" s="60">
        <f>$B$9*'DRIPE - Cleared'!J17 + (1-$B$9)*'DRIPE - Uncleared'!J17</f>
        <v>451.9795261717295</v>
      </c>
      <c r="K31" s="60">
        <f>$B$9*'DRIPE - Cleared'!K17 + (1-$B$9)*'DRIPE - Uncleared'!K17</f>
        <v>441.97634988414114</v>
      </c>
      <c r="L31" s="60">
        <f>$B$9*'DRIPE - Cleared'!L17 + (1-$B$9)*'DRIPE - Uncleared'!L17</f>
        <v>485.95627834046905</v>
      </c>
      <c r="M31" s="60">
        <f>$B$9*'DRIPE - Cleared'!M17 + (1-$B$9)*'DRIPE - Uncleared'!M17</f>
        <v>375.74586934717144</v>
      </c>
      <c r="N31" s="60">
        <f>$B$9*'DRIPE - Cleared'!N17 + (1-$B$9)*'DRIPE - Uncleared'!N17</f>
        <v>479.31862757331646</v>
      </c>
      <c r="O31" s="60">
        <f>$B$9*'DRIPE - Cleared'!O17 + (1-$B$9)*'DRIPE - Uncleared'!O17</f>
        <v>246.7009118499997</v>
      </c>
    </row>
    <row r="32" spans="1:15" x14ac:dyDescent="0.3">
      <c r="A32" s="5">
        <f>'DRIPE - Cleared'!A18</f>
        <v>2029</v>
      </c>
      <c r="B32" s="59">
        <f>$B$9*'DRIPE - Cleared'!B18 + (1-$B$9)*'DRIPE - Uncleared'!B18</f>
        <v>328.79075707943593</v>
      </c>
      <c r="C32" s="59">
        <f>$B$9*'DRIPE - Cleared'!C18 + (1-$B$9)*'DRIPE - Uncleared'!C18</f>
        <v>26.347429849092595</v>
      </c>
      <c r="D32" s="59">
        <f>$B$9*'DRIPE - Cleared'!D18 + (1-$B$9)*'DRIPE - Uncleared'!D18</f>
        <v>33.041082424276716</v>
      </c>
      <c r="E32" s="59">
        <f>$B$9*'DRIPE - Cleared'!E18 + (1-$B$9)*'DRIPE - Uncleared'!E18</f>
        <v>3.6117938758605059</v>
      </c>
      <c r="F32" s="59">
        <f>$B$9*'DRIPE - Cleared'!F18 + (1-$B$9)*'DRIPE - Uncleared'!F18</f>
        <v>77.359388315979558</v>
      </c>
      <c r="G32" s="59">
        <f>$B$9*'DRIPE - Cleared'!G18 + (1-$B$9)*'DRIPE - Uncleared'!G18</f>
        <v>8.0533959103914246</v>
      </c>
      <c r="H32" s="59">
        <f>$B$9*'DRIPE - Cleared'!H18 + (1-$B$9)*'DRIPE - Uncleared'!H18</f>
        <v>163.71017203027077</v>
      </c>
      <c r="I32" s="60">
        <f>$B$9*'DRIPE - Cleared'!I18 + (1-$B$9)*'DRIPE - Uncleared'!I18</f>
        <v>0</v>
      </c>
      <c r="J32" s="60">
        <f>$B$9*'DRIPE - Cleared'!J18 + (1-$B$9)*'DRIPE - Uncleared'!J18</f>
        <v>302.44332723034336</v>
      </c>
      <c r="K32" s="60">
        <f>$B$9*'DRIPE - Cleared'!K18 + (1-$B$9)*'DRIPE - Uncleared'!K18</f>
        <v>295.7496746551592</v>
      </c>
      <c r="L32" s="60">
        <f>$B$9*'DRIPE - Cleared'!L18 + (1-$B$9)*'DRIPE - Uncleared'!L18</f>
        <v>325.17896320357545</v>
      </c>
      <c r="M32" s="60">
        <f>$B$9*'DRIPE - Cleared'!M18 + (1-$B$9)*'DRIPE - Uncleared'!M18</f>
        <v>251.43136876345636</v>
      </c>
      <c r="N32" s="60">
        <f>$B$9*'DRIPE - Cleared'!N18 + (1-$B$9)*'DRIPE - Uncleared'!N18</f>
        <v>320.7373611690445</v>
      </c>
      <c r="O32" s="60">
        <f>$B$9*'DRIPE - Cleared'!O18 + (1-$B$9)*'DRIPE - Uncleared'!O18</f>
        <v>165.08058504916517</v>
      </c>
    </row>
    <row r="33" spans="1:15" x14ac:dyDescent="0.3">
      <c r="A33" s="5">
        <f>'DRIPE - Cleared'!A19</f>
        <v>2030</v>
      </c>
      <c r="B33" s="59">
        <f>$B$9*'DRIPE - Cleared'!B19 + (1-$B$9)*'DRIPE - Uncleared'!B19</f>
        <v>162.8316934054254</v>
      </c>
      <c r="C33" s="59">
        <f>$B$9*'DRIPE - Cleared'!C19 + (1-$B$9)*'DRIPE - Uncleared'!C19</f>
        <v>13.048410050565643</v>
      </c>
      <c r="D33" s="59">
        <f>$B$9*'DRIPE - Cleared'!D19 + (1-$B$9)*'DRIPE - Uncleared'!D19</f>
        <v>16.363402216301889</v>
      </c>
      <c r="E33" s="59">
        <f>$B$9*'DRIPE - Cleared'!E19 + (1-$B$9)*'DRIPE - Uncleared'!E19</f>
        <v>1.7887197263748582</v>
      </c>
      <c r="F33" s="59">
        <f>$B$9*'DRIPE - Cleared'!F19 + (1-$B$9)*'DRIPE - Uncleared'!F19</f>
        <v>38.311783190594682</v>
      </c>
      <c r="G33" s="59">
        <f>$B$9*'DRIPE - Cleared'!G19 + (1-$B$9)*'DRIPE - Uncleared'!G19</f>
        <v>3.988397074789245</v>
      </c>
      <c r="H33" s="59">
        <f>$B$9*'DRIPE - Cleared'!H19 + (1-$B$9)*'DRIPE - Uncleared'!H19</f>
        <v>81.0765021990631</v>
      </c>
      <c r="I33" s="60">
        <f>$B$9*'DRIPE - Cleared'!I19 + (1-$B$9)*'DRIPE - Uncleared'!I19</f>
        <v>0</v>
      </c>
      <c r="J33" s="60">
        <f>$B$9*'DRIPE - Cleared'!J19 + (1-$B$9)*'DRIPE - Uncleared'!J19</f>
        <v>149.78328335485975</v>
      </c>
      <c r="K33" s="60">
        <f>$B$9*'DRIPE - Cleared'!K19 + (1-$B$9)*'DRIPE - Uncleared'!K19</f>
        <v>146.46829118912351</v>
      </c>
      <c r="L33" s="60">
        <f>$B$9*'DRIPE - Cleared'!L19 + (1-$B$9)*'DRIPE - Uncleared'!L19</f>
        <v>161.04297367905053</v>
      </c>
      <c r="M33" s="60">
        <f>$B$9*'DRIPE - Cleared'!M19 + (1-$B$9)*'DRIPE - Uncleared'!M19</f>
        <v>124.51991021483072</v>
      </c>
      <c r="N33" s="60">
        <f>$B$9*'DRIPE - Cleared'!N19 + (1-$B$9)*'DRIPE - Uncleared'!N19</f>
        <v>158.84329633063615</v>
      </c>
      <c r="O33" s="60">
        <f>$B$9*'DRIPE - Cleared'!O19 + (1-$B$9)*'DRIPE - Uncleared'!O19</f>
        <v>81.755191206362298</v>
      </c>
    </row>
    <row r="34" spans="1:15" x14ac:dyDescent="0.3">
      <c r="A34" s="5">
        <f>'DRIPE - Cleared'!A20</f>
        <v>2031</v>
      </c>
      <c r="B34" s="59">
        <f>$B$9*'DRIPE - Cleared'!B20 + (1-$B$9)*'DRIPE - Uncleared'!B20</f>
        <v>79.987834621741982</v>
      </c>
      <c r="C34" s="59">
        <f>$B$9*'DRIPE - Cleared'!C20 + (1-$B$9)*'DRIPE - Uncleared'!C20</f>
        <v>6.4097722216929602</v>
      </c>
      <c r="D34" s="59">
        <f>$B$9*'DRIPE - Cleared'!D20 + (1-$B$9)*'DRIPE - Uncleared'!D20</f>
        <v>8.0381962685096724</v>
      </c>
      <c r="E34" s="59">
        <f>$B$9*'DRIPE - Cleared'!E20 + (1-$B$9)*'DRIPE - Uncleared'!E20</f>
        <v>0.8786730314330351</v>
      </c>
      <c r="F34" s="59">
        <f>$B$9*'DRIPE - Cleared'!F20 + (1-$B$9)*'DRIPE - Uncleared'!F20</f>
        <v>18.819902402434973</v>
      </c>
      <c r="G34" s="59">
        <f>$B$9*'DRIPE - Cleared'!G20 + (1-$B$9)*'DRIPE - Uncleared'!G20</f>
        <v>1.9592208307369481</v>
      </c>
      <c r="H34" s="59">
        <f>$B$9*'DRIPE - Cleared'!H20 + (1-$B$9)*'DRIPE - Uncleared'!H20</f>
        <v>39.827221064765268</v>
      </c>
      <c r="I34" s="60">
        <f>$B$9*'DRIPE - Cleared'!I20 + (1-$B$9)*'DRIPE - Uncleared'!I20</f>
        <v>0</v>
      </c>
      <c r="J34" s="60">
        <f>$B$9*'DRIPE - Cleared'!J20 + (1-$B$9)*'DRIPE - Uncleared'!J20</f>
        <v>73.578062400049021</v>
      </c>
      <c r="K34" s="60">
        <f>$B$9*'DRIPE - Cleared'!K20 + (1-$B$9)*'DRIPE - Uncleared'!K20</f>
        <v>71.949638353232302</v>
      </c>
      <c r="L34" s="60">
        <f>$B$9*'DRIPE - Cleared'!L20 + (1-$B$9)*'DRIPE - Uncleared'!L20</f>
        <v>79.109161590308943</v>
      </c>
      <c r="M34" s="60">
        <f>$B$9*'DRIPE - Cleared'!M20 + (1-$B$9)*'DRIPE - Uncleared'!M20</f>
        <v>61.167932219307005</v>
      </c>
      <c r="N34" s="60">
        <f>$B$9*'DRIPE - Cleared'!N20 + (1-$B$9)*'DRIPE - Uncleared'!N20</f>
        <v>78.028613791005029</v>
      </c>
      <c r="O34" s="60">
        <f>$B$9*'DRIPE - Cleared'!O20 + (1-$B$9)*'DRIPE - Uncleared'!O20</f>
        <v>40.160613556976713</v>
      </c>
    </row>
    <row r="35" spans="1:15" x14ac:dyDescent="0.3">
      <c r="A35" s="5">
        <f>'DRIPE - Cleared'!A21</f>
        <v>2032</v>
      </c>
      <c r="B35" s="59">
        <f>$B$9*'DRIPE - Cleared'!B21 + (1-$B$9)*'DRIPE - Uncleared'!B21</f>
        <v>24.354870894773033</v>
      </c>
      <c r="C35" s="59">
        <f>$B$9*'DRIPE - Cleared'!C21 + (1-$B$9)*'DRIPE - Uncleared'!C21</f>
        <v>1.9516614703031552</v>
      </c>
      <c r="D35" s="59">
        <f>$B$9*'DRIPE - Cleared'!D21 + (1-$B$9)*'DRIPE - Uncleared'!D21</f>
        <v>2.4474875869834607</v>
      </c>
      <c r="E35" s="59">
        <f>$B$9*'DRIPE - Cleared'!E21 + (1-$B$9)*'DRIPE - Uncleared'!E21</f>
        <v>0.26754028710077821</v>
      </c>
      <c r="F35" s="59">
        <f>$B$9*'DRIPE - Cleared'!F21 + (1-$B$9)*'DRIPE - Uncleared'!F21</f>
        <v>5.7303250604429294</v>
      </c>
      <c r="G35" s="59">
        <f>$B$9*'DRIPE - Cleared'!G21 + (1-$B$9)*'DRIPE - Uncleared'!G21</f>
        <v>0.5965478452141797</v>
      </c>
      <c r="H35" s="59">
        <f>$B$9*'DRIPE - Cleared'!H21 + (1-$B$9)*'DRIPE - Uncleared'!H21</f>
        <v>12.126679409649688</v>
      </c>
      <c r="I35" s="60">
        <f>$B$9*'DRIPE - Cleared'!I21 + (1-$B$9)*'DRIPE - Uncleared'!I21</f>
        <v>0</v>
      </c>
      <c r="J35" s="60">
        <f>$B$9*'DRIPE - Cleared'!J21 + (1-$B$9)*'DRIPE - Uncleared'!J21</f>
        <v>22.403209424469878</v>
      </c>
      <c r="K35" s="60">
        <f>$B$9*'DRIPE - Cleared'!K21 + (1-$B$9)*'DRIPE - Uncleared'!K21</f>
        <v>21.907383307789573</v>
      </c>
      <c r="L35" s="60">
        <f>$B$9*'DRIPE - Cleared'!L21 + (1-$B$9)*'DRIPE - Uncleared'!L21</f>
        <v>24.087330607672254</v>
      </c>
      <c r="M35" s="60">
        <f>$B$9*'DRIPE - Cleared'!M21 + (1-$B$9)*'DRIPE - Uncleared'!M21</f>
        <v>18.624545834330103</v>
      </c>
      <c r="N35" s="60">
        <f>$B$9*'DRIPE - Cleared'!N21 + (1-$B$9)*'DRIPE - Uncleared'!N21</f>
        <v>23.758323049558854</v>
      </c>
      <c r="O35" s="60">
        <f>$B$9*'DRIPE - Cleared'!O21 + (1-$B$9)*'DRIPE - Uncleared'!O21</f>
        <v>12.228191485123345</v>
      </c>
    </row>
    <row r="36" spans="1:15" x14ac:dyDescent="0.3">
      <c r="A36" s="5">
        <f>'DRIPE - Cleared'!A22</f>
        <v>2033</v>
      </c>
      <c r="B36" s="59">
        <f>$B$9*'DRIPE - Cleared'!B22 + (1-$B$9)*'DRIPE - Uncleared'!B22</f>
        <v>0</v>
      </c>
      <c r="C36" s="59">
        <f>$B$9*'DRIPE - Cleared'!C22 + (1-$B$9)*'DRIPE - Uncleared'!C22</f>
        <v>0</v>
      </c>
      <c r="D36" s="59">
        <f>$B$9*'DRIPE - Cleared'!D22 + (1-$B$9)*'DRIPE - Uncleared'!D22</f>
        <v>0</v>
      </c>
      <c r="E36" s="59">
        <f>$B$9*'DRIPE - Cleared'!E22 + (1-$B$9)*'DRIPE - Uncleared'!E22</f>
        <v>0</v>
      </c>
      <c r="F36" s="59">
        <f>$B$9*'DRIPE - Cleared'!F22 + (1-$B$9)*'DRIPE - Uncleared'!F22</f>
        <v>0</v>
      </c>
      <c r="G36" s="59">
        <f>$B$9*'DRIPE - Cleared'!G22 + (1-$B$9)*'DRIPE - Uncleared'!G22</f>
        <v>0</v>
      </c>
      <c r="H36" s="59">
        <f>$B$9*'DRIPE - Cleared'!H22 + (1-$B$9)*'DRIPE - Uncleared'!H22</f>
        <v>0</v>
      </c>
      <c r="I36" s="60">
        <f>$B$9*'DRIPE - Cleared'!I22 + (1-$B$9)*'DRIPE - Uncleared'!I22</f>
        <v>0</v>
      </c>
      <c r="J36" s="60">
        <f>$B$9*'DRIPE - Cleared'!J22 + (1-$B$9)*'DRIPE - Uncleared'!J22</f>
        <v>0</v>
      </c>
      <c r="K36" s="60">
        <f>$B$9*'DRIPE - Cleared'!K22 + (1-$B$9)*'DRIPE - Uncleared'!K22</f>
        <v>0</v>
      </c>
      <c r="L36" s="60">
        <f>$B$9*'DRIPE - Cleared'!L22 + (1-$B$9)*'DRIPE - Uncleared'!L22</f>
        <v>0</v>
      </c>
      <c r="M36" s="60">
        <f>$B$9*'DRIPE - Cleared'!M22 + (1-$B$9)*'DRIPE - Uncleared'!M22</f>
        <v>0</v>
      </c>
      <c r="N36" s="60">
        <f>$B$9*'DRIPE - Cleared'!N22 + (1-$B$9)*'DRIPE - Uncleared'!N22</f>
        <v>0</v>
      </c>
      <c r="O36" s="60">
        <f>$B$9*'DRIPE - Cleared'!O22 + (1-$B$9)*'DRIPE - Uncleared'!O22</f>
        <v>0</v>
      </c>
    </row>
    <row r="37" spans="1:15" x14ac:dyDescent="0.3">
      <c r="A37" s="5">
        <f>'DRIPE - Cleared'!A23</f>
        <v>2034</v>
      </c>
      <c r="B37" s="59">
        <f>$B$9*'DRIPE - Cleared'!B23 + (1-$B$9)*'DRIPE - Uncleared'!B23</f>
        <v>0</v>
      </c>
      <c r="C37" s="59">
        <f>$B$9*'DRIPE - Cleared'!C23 + (1-$B$9)*'DRIPE - Uncleared'!C23</f>
        <v>0</v>
      </c>
      <c r="D37" s="59">
        <f>$B$9*'DRIPE - Cleared'!D23 + (1-$B$9)*'DRIPE - Uncleared'!D23</f>
        <v>0</v>
      </c>
      <c r="E37" s="59">
        <f>$B$9*'DRIPE - Cleared'!E23 + (1-$B$9)*'DRIPE - Uncleared'!E23</f>
        <v>0</v>
      </c>
      <c r="F37" s="59">
        <f>$B$9*'DRIPE - Cleared'!F23 + (1-$B$9)*'DRIPE - Uncleared'!F23</f>
        <v>0</v>
      </c>
      <c r="G37" s="59">
        <f>$B$9*'DRIPE - Cleared'!G23 + (1-$B$9)*'DRIPE - Uncleared'!G23</f>
        <v>0</v>
      </c>
      <c r="H37" s="59">
        <f>$B$9*'DRIPE - Cleared'!H23 + (1-$B$9)*'DRIPE - Uncleared'!H23</f>
        <v>0</v>
      </c>
      <c r="I37" s="60">
        <f>$B$9*'DRIPE - Cleared'!I23 + (1-$B$9)*'DRIPE - Uncleared'!I23</f>
        <v>0</v>
      </c>
      <c r="J37" s="60">
        <f>$B$9*'DRIPE - Cleared'!J23 + (1-$B$9)*'DRIPE - Uncleared'!J23</f>
        <v>0</v>
      </c>
      <c r="K37" s="60">
        <f>$B$9*'DRIPE - Cleared'!K23 + (1-$B$9)*'DRIPE - Uncleared'!K23</f>
        <v>0</v>
      </c>
      <c r="L37" s="60">
        <f>$B$9*'DRIPE - Cleared'!L23 + (1-$B$9)*'DRIPE - Uncleared'!L23</f>
        <v>0</v>
      </c>
      <c r="M37" s="60">
        <f>$B$9*'DRIPE - Cleared'!M23 + (1-$B$9)*'DRIPE - Uncleared'!M23</f>
        <v>0</v>
      </c>
      <c r="N37" s="60">
        <f>$B$9*'DRIPE - Cleared'!N23 + (1-$B$9)*'DRIPE - Uncleared'!N23</f>
        <v>0</v>
      </c>
      <c r="O37" s="60">
        <f>$B$9*'DRIPE - Cleared'!O23 + (1-$B$9)*'DRIPE - Uncleared'!O23</f>
        <v>0</v>
      </c>
    </row>
    <row r="38" spans="1:15" x14ac:dyDescent="0.3">
      <c r="A38" s="5">
        <f>'DRIPE - Cleared'!A24</f>
        <v>2035</v>
      </c>
      <c r="B38" s="59">
        <f>$B$9*'DRIPE - Cleared'!B24 + (1-$B$9)*'DRIPE - Uncleared'!B24</f>
        <v>0</v>
      </c>
      <c r="C38" s="59">
        <f>$B$9*'DRIPE - Cleared'!C24 + (1-$B$9)*'DRIPE - Uncleared'!C24</f>
        <v>0</v>
      </c>
      <c r="D38" s="59">
        <f>$B$9*'DRIPE - Cleared'!D24 + (1-$B$9)*'DRIPE - Uncleared'!D24</f>
        <v>0</v>
      </c>
      <c r="E38" s="59">
        <f>$B$9*'DRIPE - Cleared'!E24 + (1-$B$9)*'DRIPE - Uncleared'!E24</f>
        <v>0</v>
      </c>
      <c r="F38" s="59">
        <f>$B$9*'DRIPE - Cleared'!F24 + (1-$B$9)*'DRIPE - Uncleared'!F24</f>
        <v>0</v>
      </c>
      <c r="G38" s="59">
        <f>$B$9*'DRIPE - Cleared'!G24 + (1-$B$9)*'DRIPE - Uncleared'!G24</f>
        <v>0</v>
      </c>
      <c r="H38" s="59">
        <f>$B$9*'DRIPE - Cleared'!H24 + (1-$B$9)*'DRIPE - Uncleared'!H24</f>
        <v>0</v>
      </c>
      <c r="I38" s="60">
        <f>$B$9*'DRIPE - Cleared'!I24 + (1-$B$9)*'DRIPE - Uncleared'!I24</f>
        <v>0</v>
      </c>
      <c r="J38" s="60">
        <f>$B$9*'DRIPE - Cleared'!J24 + (1-$B$9)*'DRIPE - Uncleared'!J24</f>
        <v>0</v>
      </c>
      <c r="K38" s="60">
        <f>$B$9*'DRIPE - Cleared'!K24 + (1-$B$9)*'DRIPE - Uncleared'!K24</f>
        <v>0</v>
      </c>
      <c r="L38" s="60">
        <f>$B$9*'DRIPE - Cleared'!L24 + (1-$B$9)*'DRIPE - Uncleared'!L24</f>
        <v>0</v>
      </c>
      <c r="M38" s="60">
        <f>$B$9*'DRIPE - Cleared'!M24 + (1-$B$9)*'DRIPE - Uncleared'!M24</f>
        <v>0</v>
      </c>
      <c r="N38" s="60">
        <f>$B$9*'DRIPE - Cleared'!N24 + (1-$B$9)*'DRIPE - Uncleared'!N24</f>
        <v>0</v>
      </c>
      <c r="O38" s="60">
        <f>$B$9*'DRIPE - Cleared'!O24 + (1-$B$9)*'DRIPE - Uncleared'!O24</f>
        <v>0</v>
      </c>
    </row>
    <row r="39" spans="1:15" x14ac:dyDescent="0.3">
      <c r="A39" s="57" t="s">
        <v>70</v>
      </c>
      <c r="B39" s="61">
        <f>-PMT(1.34%,COUNT(B21:B30),NPV(1.34%,B21:B30))</f>
        <v>248.61590837897805</v>
      </c>
      <c r="C39" s="61">
        <f t="shared" ref="C39:O39" si="1">-PMT(1.34%,COUNT(C21:C30),NPV(1.34%,C21:C30))</f>
        <v>19.944264976333866</v>
      </c>
      <c r="D39" s="61">
        <f t="shared" si="1"/>
        <v>25.00062639278266</v>
      </c>
      <c r="E39" s="61">
        <f t="shared" si="1"/>
        <v>2.6410258922198864</v>
      </c>
      <c r="F39" s="61">
        <f t="shared" si="1"/>
        <v>58.886626429259152</v>
      </c>
      <c r="G39" s="61">
        <f t="shared" si="1"/>
        <v>5.8052425746086049</v>
      </c>
      <c r="H39" s="61">
        <f t="shared" si="1"/>
        <v>123.42918653249971</v>
      </c>
      <c r="I39" s="62">
        <f t="shared" si="1"/>
        <v>0</v>
      </c>
      <c r="J39" s="62">
        <f t="shared" si="1"/>
        <v>228.67164340264421</v>
      </c>
      <c r="K39" s="62">
        <f t="shared" si="1"/>
        <v>223.61528198619544</v>
      </c>
      <c r="L39" s="62">
        <f t="shared" si="1"/>
        <v>245.97488248675819</v>
      </c>
      <c r="M39" s="62">
        <f t="shared" si="1"/>
        <v>189.72928194971891</v>
      </c>
      <c r="N39" s="62">
        <f t="shared" si="1"/>
        <v>242.81066580436951</v>
      </c>
      <c r="O39" s="62">
        <f t="shared" si="1"/>
        <v>125.18672184647838</v>
      </c>
    </row>
    <row r="40" spans="1:15" x14ac:dyDescent="0.3">
      <c r="A40" s="56" t="s">
        <v>71</v>
      </c>
      <c r="B40" s="63">
        <f>-PMT(1.34%,COUNT(B21:B38),NPV(1.34%,B21:B38))</f>
        <v>203.79695709906707</v>
      </c>
      <c r="C40" s="63">
        <f t="shared" ref="C40:O40" si="2">-PMT(1.34%,COUNT(C21:C38),NPV(1.34%,C21:C38))</f>
        <v>16.343765961426509</v>
      </c>
      <c r="D40" s="63">
        <f t="shared" si="2"/>
        <v>20.489785372756124</v>
      </c>
      <c r="E40" s="63">
        <f t="shared" si="2"/>
        <v>2.1860555508509232</v>
      </c>
      <c r="F40" s="63">
        <f t="shared" si="2"/>
        <v>48.179083426810855</v>
      </c>
      <c r="G40" s="63">
        <f t="shared" si="2"/>
        <v>4.8254624648417481</v>
      </c>
      <c r="H40" s="63">
        <f t="shared" si="2"/>
        <v>101.26279398301486</v>
      </c>
      <c r="I40" s="64">
        <f t="shared" si="2"/>
        <v>0</v>
      </c>
      <c r="J40" s="64">
        <f t="shared" si="2"/>
        <v>187.45319113764054</v>
      </c>
      <c r="K40" s="64">
        <f t="shared" si="2"/>
        <v>183.30717172631094</v>
      </c>
      <c r="L40" s="64">
        <f t="shared" si="2"/>
        <v>201.61090154821611</v>
      </c>
      <c r="M40" s="64">
        <f t="shared" si="2"/>
        <v>155.61787367225622</v>
      </c>
      <c r="N40" s="64">
        <f t="shared" si="2"/>
        <v>198.97149463422531</v>
      </c>
      <c r="O40" s="64">
        <f t="shared" si="2"/>
        <v>102.5341631160522</v>
      </c>
    </row>
  </sheetData>
  <mergeCells count="3">
    <mergeCell ref="B19:H19"/>
    <mergeCell ref="I19:O19"/>
    <mergeCell ref="B18:O18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workbookViewId="0">
      <selection activeCell="A4" sqref="A1:O4"/>
    </sheetView>
  </sheetViews>
  <sheetFormatPr defaultRowHeight="14.4" x14ac:dyDescent="0.3"/>
  <cols>
    <col min="1" max="1" width="18.33203125" bestFit="1" customWidth="1"/>
    <col min="9" max="9" width="17" bestFit="1" customWidth="1"/>
  </cols>
  <sheetData>
    <row r="1" spans="1:15" ht="23.4" x14ac:dyDescent="0.45">
      <c r="A1" s="80" t="s">
        <v>85</v>
      </c>
    </row>
    <row r="4" spans="1:15" x14ac:dyDescent="0.3">
      <c r="B4" s="281" t="s">
        <v>68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</row>
    <row r="5" spans="1:15" x14ac:dyDescent="0.3">
      <c r="A5" s="41"/>
      <c r="B5" s="282" t="s">
        <v>66</v>
      </c>
      <c r="C5" s="282"/>
      <c r="D5" s="282"/>
      <c r="E5" s="282"/>
      <c r="F5" s="282"/>
      <c r="G5" s="282"/>
      <c r="H5" s="282"/>
      <c r="I5" s="283" t="s">
        <v>67</v>
      </c>
      <c r="J5" s="283"/>
      <c r="K5" s="283"/>
      <c r="L5" s="283"/>
      <c r="M5" s="283"/>
      <c r="N5" s="283"/>
      <c r="O5" s="283"/>
    </row>
    <row r="6" spans="1:15" x14ac:dyDescent="0.3">
      <c r="A6" s="42" t="s">
        <v>1</v>
      </c>
      <c r="B6" s="45" t="str">
        <f>'DRIPE - Cleared'!B6</f>
        <v>ISO NE CA</v>
      </c>
      <c r="C6" s="45" t="str">
        <f>'DRIPE - Cleared'!C6</f>
        <v>ME</v>
      </c>
      <c r="D6" s="45" t="str">
        <f>'DRIPE - Cleared'!D6</f>
        <v>NH</v>
      </c>
      <c r="E6" s="45" t="str">
        <f>'DRIPE - Cleared'!E6</f>
        <v>VT</v>
      </c>
      <c r="F6" s="45" t="str">
        <f>'DRIPE - Cleared'!F6</f>
        <v>CT</v>
      </c>
      <c r="G6" s="45" t="str">
        <f>'DRIPE - Cleared'!G6</f>
        <v>RI</v>
      </c>
      <c r="H6" s="45" t="str">
        <f>'DRIPE - Cleared'!H6</f>
        <v>MA</v>
      </c>
      <c r="I6" s="46" t="str">
        <f>B6</f>
        <v>ISO NE CA</v>
      </c>
      <c r="J6" s="46" t="str">
        <f t="shared" ref="J6:O6" si="0">C6</f>
        <v>ME</v>
      </c>
      <c r="K6" s="46" t="str">
        <f t="shared" si="0"/>
        <v>NH</v>
      </c>
      <c r="L6" s="46" t="str">
        <f t="shared" si="0"/>
        <v>VT</v>
      </c>
      <c r="M6" s="46" t="str">
        <f t="shared" si="0"/>
        <v>CT</v>
      </c>
      <c r="N6" s="46" t="str">
        <f t="shared" si="0"/>
        <v>RI</v>
      </c>
      <c r="O6" s="46" t="str">
        <f t="shared" si="0"/>
        <v>MA</v>
      </c>
    </row>
    <row r="7" spans="1:15" x14ac:dyDescent="0.3">
      <c r="A7">
        <v>2018</v>
      </c>
      <c r="B7" s="47">
        <f>(-'Gross Demand'!P6*'Price Schedule'!$H8)*'DRIPE LFE (Table 146)'!$K12*12*(1+'DRIPE - Blended'!$B$11)*(1+'DRIPE - Blended'!$B$12)*(1+'DRIPE - Blended'!$B$13)</f>
        <v>0</v>
      </c>
      <c r="C7" s="47">
        <f>(-'Gross Demand'!Q6*'Price Schedule'!$H8)*'DRIPE LFE (Table 146)'!$K12*12*(1+'DRIPE - Blended'!$B$11)*(1+'DRIPE - Blended'!$B$12)*(1+'DRIPE - Blended'!$B$13)</f>
        <v>0</v>
      </c>
      <c r="D7" s="47">
        <f>(-'Gross Demand'!R6*'Price Schedule'!$H8)*'DRIPE LFE (Table 146)'!$K12*12*(1+'DRIPE - Blended'!$B$11)*(1+'DRIPE - Blended'!$B$12)*(1+'DRIPE - Blended'!$B$13)</f>
        <v>0</v>
      </c>
      <c r="E7" s="47">
        <f>(-'Gross Demand'!S6*'Price Schedule'!$H8)*'DRIPE LFE (Table 146)'!$K12*12*(1+'DRIPE - Blended'!$B$11)*(1+'DRIPE - Blended'!$B$12)*(1+'DRIPE - Blended'!$B$13)</f>
        <v>0</v>
      </c>
      <c r="F7" s="47">
        <f>(-'Gross Demand'!T6*'Price Schedule'!$H8)*'DRIPE LFE (Table 146)'!$K12*12*(1+'DRIPE - Blended'!$B$11)*(1+'DRIPE - Blended'!$B$12)*(1+'DRIPE - Blended'!$B$13)</f>
        <v>0</v>
      </c>
      <c r="G7" s="47">
        <f>(-'Gross Demand'!U6*'Price Schedule'!$H8)*'DRIPE LFE (Table 146)'!$K12*12*(1+'DRIPE - Blended'!$B$11)*(1+'DRIPE - Blended'!$B$12)*(1+'DRIPE - Blended'!$B$13)</f>
        <v>0</v>
      </c>
      <c r="H7" s="47">
        <f>(-'Gross Demand'!V6*'Price Schedule'!$H8)*'DRIPE LFE (Table 146)'!$K12*12*(1+'DRIPE - Blended'!$B$11)*(1+'DRIPE - Blended'!$B$12)*(1+'DRIPE - Blended'!$B$13)</f>
        <v>0</v>
      </c>
      <c r="I7" s="48">
        <f>$B7-B7</f>
        <v>0</v>
      </c>
      <c r="J7" s="48">
        <f t="shared" ref="J7:O24" si="1">$B7-C7</f>
        <v>0</v>
      </c>
      <c r="K7" s="48">
        <f t="shared" si="1"/>
        <v>0</v>
      </c>
      <c r="L7" s="48">
        <f t="shared" si="1"/>
        <v>0</v>
      </c>
      <c r="M7" s="48">
        <f t="shared" si="1"/>
        <v>0</v>
      </c>
      <c r="N7" s="48">
        <f t="shared" si="1"/>
        <v>0</v>
      </c>
      <c r="O7" s="48">
        <f t="shared" si="1"/>
        <v>0</v>
      </c>
    </row>
    <row r="8" spans="1:15" x14ac:dyDescent="0.3">
      <c r="A8">
        <f>A7+1</f>
        <v>2019</v>
      </c>
      <c r="B8" s="47">
        <f>(-'Gross Demand'!P7*'Price Schedule'!$H9)*'DRIPE LFE (Table 146)'!$K13*12*(1+'DRIPE - Blended'!$B$11)*(1+'DRIPE - Blended'!$B$12)*(1+'DRIPE - Blended'!$B$13)</f>
        <v>0</v>
      </c>
      <c r="C8" s="47">
        <f>(-'Gross Demand'!Q7*'Price Schedule'!$H9)*'DRIPE LFE (Table 146)'!$K13*12*(1+'DRIPE - Blended'!$B$11)*(1+'DRIPE - Blended'!$B$12)*(1+'DRIPE - Blended'!$B$13)</f>
        <v>0</v>
      </c>
      <c r="D8" s="47">
        <f>(-'Gross Demand'!R7*'Price Schedule'!$H9)*'DRIPE LFE (Table 146)'!$K13*12*(1+'DRIPE - Blended'!$B$11)*(1+'DRIPE - Blended'!$B$12)*(1+'DRIPE - Blended'!$B$13)</f>
        <v>0</v>
      </c>
      <c r="E8" s="47">
        <f>(-'Gross Demand'!S7*'Price Schedule'!$H9)*'DRIPE LFE (Table 146)'!$K13*12*(1+'DRIPE - Blended'!$B$11)*(1+'DRIPE - Blended'!$B$12)*(1+'DRIPE - Blended'!$B$13)</f>
        <v>0</v>
      </c>
      <c r="F8" s="47">
        <f>(-'Gross Demand'!T7*'Price Schedule'!$H9)*'DRIPE LFE (Table 146)'!$K13*12*(1+'DRIPE - Blended'!$B$11)*(1+'DRIPE - Blended'!$B$12)*(1+'DRIPE - Blended'!$B$13)</f>
        <v>0</v>
      </c>
      <c r="G8" s="47">
        <f>(-'Gross Demand'!U7*'Price Schedule'!$H9)*'DRIPE LFE (Table 146)'!$K13*12*(1+'DRIPE - Blended'!$B$11)*(1+'DRIPE - Blended'!$B$12)*(1+'DRIPE - Blended'!$B$13)</f>
        <v>0</v>
      </c>
      <c r="H8" s="47">
        <f>(-'Gross Demand'!V7*'Price Schedule'!$H9)*'DRIPE LFE (Table 146)'!$K13*12*(1+'DRIPE - Blended'!$B$11)*(1+'DRIPE - Blended'!$B$12)*(1+'DRIPE - Blended'!$B$13)</f>
        <v>0</v>
      </c>
      <c r="I8" s="48">
        <f t="shared" ref="I8:I24" si="2">$B8-B8</f>
        <v>0</v>
      </c>
      <c r="J8" s="48">
        <f t="shared" si="1"/>
        <v>0</v>
      </c>
      <c r="K8" s="48">
        <f t="shared" si="1"/>
        <v>0</v>
      </c>
      <c r="L8" s="48">
        <f t="shared" si="1"/>
        <v>0</v>
      </c>
      <c r="M8" s="48">
        <f t="shared" si="1"/>
        <v>0</v>
      </c>
      <c r="N8" s="48">
        <f t="shared" si="1"/>
        <v>0</v>
      </c>
      <c r="O8" s="48">
        <f t="shared" si="1"/>
        <v>0</v>
      </c>
    </row>
    <row r="9" spans="1:15" x14ac:dyDescent="0.3">
      <c r="A9">
        <f t="shared" ref="A9:A24" si="3">A8+1</f>
        <v>2020</v>
      </c>
      <c r="B9" s="47">
        <f>(-'Gross Demand'!P8*'Price Schedule'!$H10)*'DRIPE LFE (Table 146)'!$K14*12*(1+'DRIPE - Blended'!$B$11)*(1+'DRIPE - Blended'!$B$12)*(1+'DRIPE - Blended'!$B$13)</f>
        <v>0</v>
      </c>
      <c r="C9" s="47">
        <f>(-'Gross Demand'!Q8*'Price Schedule'!$H10)*'DRIPE LFE (Table 146)'!$K14*12*(1+'DRIPE - Blended'!$B$11)*(1+'DRIPE - Blended'!$B$12)*(1+'DRIPE - Blended'!$B$13)</f>
        <v>0</v>
      </c>
      <c r="D9" s="47">
        <f>(-'Gross Demand'!R8*'Price Schedule'!$H10)*'DRIPE LFE (Table 146)'!$K14*12*(1+'DRIPE - Blended'!$B$11)*(1+'DRIPE - Blended'!$B$12)*(1+'DRIPE - Blended'!$B$13)</f>
        <v>0</v>
      </c>
      <c r="E9" s="47">
        <f>(-'Gross Demand'!S8*'Price Schedule'!$H10)*'DRIPE LFE (Table 146)'!$K14*12*(1+'DRIPE - Blended'!$B$11)*(1+'DRIPE - Blended'!$B$12)*(1+'DRIPE - Blended'!$B$13)</f>
        <v>0</v>
      </c>
      <c r="F9" s="47">
        <f>(-'Gross Demand'!T8*'Price Schedule'!$H10)*'DRIPE LFE (Table 146)'!$K14*12*(1+'DRIPE - Blended'!$B$11)*(1+'DRIPE - Blended'!$B$12)*(1+'DRIPE - Blended'!$B$13)</f>
        <v>0</v>
      </c>
      <c r="G9" s="47">
        <f>(-'Gross Demand'!U8*'Price Schedule'!$H10)*'DRIPE LFE (Table 146)'!$K14*12*(1+'DRIPE - Blended'!$B$11)*(1+'DRIPE - Blended'!$B$12)*(1+'DRIPE - Blended'!$B$13)</f>
        <v>0</v>
      </c>
      <c r="H9" s="47">
        <f>(-'Gross Demand'!V8*'Price Schedule'!$H10)*'DRIPE LFE (Table 146)'!$K14*12*(1+'DRIPE - Blended'!$B$11)*(1+'DRIPE - Blended'!$B$12)*(1+'DRIPE - Blended'!$B$13)</f>
        <v>0</v>
      </c>
      <c r="I9" s="48">
        <f t="shared" si="2"/>
        <v>0</v>
      </c>
      <c r="J9" s="48">
        <f t="shared" si="1"/>
        <v>0</v>
      </c>
      <c r="K9" s="48">
        <f t="shared" si="1"/>
        <v>0</v>
      </c>
      <c r="L9" s="48">
        <f t="shared" si="1"/>
        <v>0</v>
      </c>
      <c r="M9" s="48">
        <f t="shared" si="1"/>
        <v>0</v>
      </c>
      <c r="N9" s="48">
        <f t="shared" si="1"/>
        <v>0</v>
      </c>
      <c r="O9" s="48">
        <f t="shared" si="1"/>
        <v>0</v>
      </c>
    </row>
    <row r="10" spans="1:15" x14ac:dyDescent="0.3">
      <c r="A10">
        <f t="shared" si="3"/>
        <v>2021</v>
      </c>
      <c r="B10" s="47">
        <f>(-'Gross Demand'!P9*'Price Schedule'!$H11)*'DRIPE LFE (Table 146)'!$K15*12*(1+'DRIPE - Blended'!$B$11)*(1+'DRIPE - Blended'!$B$12)*(1+'DRIPE - Blended'!$B$13)</f>
        <v>0</v>
      </c>
      <c r="C10" s="47">
        <f>(-'Gross Demand'!Q9*'Price Schedule'!$H11)*'DRIPE LFE (Table 146)'!$K15*12*(1+'DRIPE - Blended'!$B$11)*(1+'DRIPE - Blended'!$B$12)*(1+'DRIPE - Blended'!$B$13)</f>
        <v>0</v>
      </c>
      <c r="D10" s="47">
        <f>(-'Gross Demand'!R9*'Price Schedule'!$H11)*'DRIPE LFE (Table 146)'!$K15*12*(1+'DRIPE - Blended'!$B$11)*(1+'DRIPE - Blended'!$B$12)*(1+'DRIPE - Blended'!$B$13)</f>
        <v>0</v>
      </c>
      <c r="E10" s="47">
        <f>(-'Gross Demand'!S9*'Price Schedule'!$H11)*'DRIPE LFE (Table 146)'!$K15*12*(1+'DRIPE - Blended'!$B$11)*(1+'DRIPE - Blended'!$B$12)*(1+'DRIPE - Blended'!$B$13)</f>
        <v>0</v>
      </c>
      <c r="F10" s="47">
        <f>(-'Gross Demand'!T9*'Price Schedule'!$H11)*'DRIPE LFE (Table 146)'!$K15*12*(1+'DRIPE - Blended'!$B$11)*(1+'DRIPE - Blended'!$B$12)*(1+'DRIPE - Blended'!$B$13)</f>
        <v>0</v>
      </c>
      <c r="G10" s="47">
        <f>(-'Gross Demand'!U9*'Price Schedule'!$H11)*'DRIPE LFE (Table 146)'!$K15*12*(1+'DRIPE - Blended'!$B$11)*(1+'DRIPE - Blended'!$B$12)*(1+'DRIPE - Blended'!$B$13)</f>
        <v>0</v>
      </c>
      <c r="H10" s="47">
        <f>(-'Gross Demand'!V9*'Price Schedule'!$H11)*'DRIPE LFE (Table 146)'!$K15*12*(1+'DRIPE - Blended'!$B$11)*(1+'DRIPE - Blended'!$B$12)*(1+'DRIPE - Blended'!$B$13)</f>
        <v>0</v>
      </c>
      <c r="I10" s="48">
        <f t="shared" si="2"/>
        <v>0</v>
      </c>
      <c r="J10" s="48">
        <f t="shared" si="1"/>
        <v>0</v>
      </c>
      <c r="K10" s="48">
        <f t="shared" si="1"/>
        <v>0</v>
      </c>
      <c r="L10" s="48">
        <f t="shared" si="1"/>
        <v>0</v>
      </c>
      <c r="M10" s="48">
        <f t="shared" si="1"/>
        <v>0</v>
      </c>
      <c r="N10" s="48">
        <f t="shared" si="1"/>
        <v>0</v>
      </c>
      <c r="O10" s="48">
        <f t="shared" si="1"/>
        <v>0</v>
      </c>
    </row>
    <row r="11" spans="1:15" x14ac:dyDescent="0.3">
      <c r="A11">
        <f t="shared" si="3"/>
        <v>2022</v>
      </c>
      <c r="B11" s="47">
        <f>(-'Gross Demand'!P10*'Price Schedule'!$H12)*'DRIPE LFE (Table 146)'!$K16*12*(1+'DRIPE - Blended'!$B$11)*(1+'DRIPE - Blended'!$B$12)*(1+'DRIPE - Blended'!$B$13)</f>
        <v>0</v>
      </c>
      <c r="C11" s="47">
        <f>(-'Gross Demand'!Q10*'Price Schedule'!$H12)*'DRIPE LFE (Table 146)'!$K16*12*(1+'DRIPE - Blended'!$B$11)*(1+'DRIPE - Blended'!$B$12)*(1+'DRIPE - Blended'!$B$13)</f>
        <v>0</v>
      </c>
      <c r="D11" s="47">
        <f>(-'Gross Demand'!R10*'Price Schedule'!$H12)*'DRIPE LFE (Table 146)'!$K16*12*(1+'DRIPE - Blended'!$B$11)*(1+'DRIPE - Blended'!$B$12)*(1+'DRIPE - Blended'!$B$13)</f>
        <v>0</v>
      </c>
      <c r="E11" s="47">
        <f>(-'Gross Demand'!S10*'Price Schedule'!$H12)*'DRIPE LFE (Table 146)'!$K16*12*(1+'DRIPE - Blended'!$B$11)*(1+'DRIPE - Blended'!$B$12)*(1+'DRIPE - Blended'!$B$13)</f>
        <v>0</v>
      </c>
      <c r="F11" s="47">
        <f>(-'Gross Demand'!T10*'Price Schedule'!$H12)*'DRIPE LFE (Table 146)'!$K16*12*(1+'DRIPE - Blended'!$B$11)*(1+'DRIPE - Blended'!$B$12)*(1+'DRIPE - Blended'!$B$13)</f>
        <v>0</v>
      </c>
      <c r="G11" s="47">
        <f>(-'Gross Demand'!U10*'Price Schedule'!$H12)*'DRIPE LFE (Table 146)'!$K16*12*(1+'DRIPE - Blended'!$B$11)*(1+'DRIPE - Blended'!$B$12)*(1+'DRIPE - Blended'!$B$13)</f>
        <v>0</v>
      </c>
      <c r="H11" s="47">
        <f>(-'Gross Demand'!V10*'Price Schedule'!$H12)*'DRIPE LFE (Table 146)'!$K16*12*(1+'DRIPE - Blended'!$B$11)*(1+'DRIPE - Blended'!$B$12)*(1+'DRIPE - Blended'!$B$13)</f>
        <v>0</v>
      </c>
      <c r="I11" s="48">
        <f t="shared" si="2"/>
        <v>0</v>
      </c>
      <c r="J11" s="48">
        <f t="shared" si="1"/>
        <v>0</v>
      </c>
      <c r="K11" s="48">
        <f t="shared" si="1"/>
        <v>0</v>
      </c>
      <c r="L11" s="48">
        <f t="shared" si="1"/>
        <v>0</v>
      </c>
      <c r="M11" s="48">
        <f t="shared" si="1"/>
        <v>0</v>
      </c>
      <c r="N11" s="48">
        <f t="shared" si="1"/>
        <v>0</v>
      </c>
      <c r="O11" s="48">
        <f t="shared" si="1"/>
        <v>0</v>
      </c>
    </row>
    <row r="12" spans="1:15" x14ac:dyDescent="0.3">
      <c r="A12">
        <f t="shared" si="3"/>
        <v>2023</v>
      </c>
      <c r="B12" s="47">
        <f>(-'Gross Demand'!P11*'Price Schedule'!$H13)*'DRIPE LFE (Table 146)'!$K17*12*(1+'DRIPE - Blended'!$B$11)*(1+'DRIPE - Blended'!$B$12)*(1+'DRIPE - Blended'!$B$13)</f>
        <v>44.231493384741412</v>
      </c>
      <c r="C12" s="47">
        <f>(-'Gross Demand'!Q11*'Price Schedule'!$H13)*'DRIPE LFE (Table 146)'!$K17*12*(1+'DRIPE - Blended'!$B$11)*(1+'DRIPE - Blended'!$B$12)*(1+'DRIPE - Blended'!$B$13)</f>
        <v>3.5494337753041694</v>
      </c>
      <c r="D12" s="47">
        <f>(-'Gross Demand'!R11*'Price Schedule'!$H13)*'DRIPE LFE (Table 146)'!$K17*12*(1+'DRIPE - Blended'!$B$11)*(1+'DRIPE - Blended'!$B$12)*(1+'DRIPE - Blended'!$B$13)</f>
        <v>4.4526260265258939</v>
      </c>
      <c r="E12" s="47">
        <f>(-'Gross Demand'!S11*'Price Schedule'!$H13)*'DRIPE LFE (Table 146)'!$K17*12*(1+'DRIPE - Blended'!$B$11)*(1+'DRIPE - Blended'!$B$12)*(1+'DRIPE - Blended'!$B$13)</f>
        <v>0.48936044832002618</v>
      </c>
      <c r="F12" s="47">
        <f>(-'Gross Demand'!T11*'Price Schedule'!$H13)*'DRIPE LFE (Table 146)'!$K17*12*(1+'DRIPE - Blended'!$B$11)*(1+'DRIPE - Blended'!$B$12)*(1+'DRIPE - Blended'!$B$13)</f>
        <v>10.475498429391308</v>
      </c>
      <c r="G12" s="47">
        <f>(-'Gross Demand'!U11*'Price Schedule'!$H13)*'DRIPE LFE (Table 146)'!$K17*12*(1+'DRIPE - Blended'!$B$11)*(1+'DRIPE - Blended'!$B$12)*(1+'DRIPE - Blended'!$B$13)</f>
        <v>1.0661631036694381</v>
      </c>
      <c r="H12" s="47">
        <f>(-'Gross Demand'!V11*'Price Schedule'!$H13)*'DRIPE LFE (Table 146)'!$K17*12*(1+'DRIPE - Blended'!$B$11)*(1+'DRIPE - Blended'!$B$12)*(1+'DRIPE - Blended'!$B$13)</f>
        <v>21.935021754232583</v>
      </c>
      <c r="I12" s="48">
        <f t="shared" si="2"/>
        <v>0</v>
      </c>
      <c r="J12" s="48">
        <f t="shared" si="1"/>
        <v>40.682059609437246</v>
      </c>
      <c r="K12" s="48">
        <f t="shared" si="1"/>
        <v>39.778867358215521</v>
      </c>
      <c r="L12" s="48">
        <f t="shared" si="1"/>
        <v>43.742132936421385</v>
      </c>
      <c r="M12" s="48">
        <f t="shared" si="1"/>
        <v>33.755994955350104</v>
      </c>
      <c r="N12" s="48">
        <f t="shared" si="1"/>
        <v>43.165330281071974</v>
      </c>
      <c r="O12" s="48">
        <f t="shared" si="1"/>
        <v>22.29647163050883</v>
      </c>
    </row>
    <row r="13" spans="1:15" x14ac:dyDescent="0.3">
      <c r="A13">
        <f t="shared" si="3"/>
        <v>2024</v>
      </c>
      <c r="B13" s="47">
        <f>(-'Gross Demand'!P12*'Price Schedule'!$H14)*'DRIPE LFE (Table 146)'!$K18*12*(1+'DRIPE - Blended'!$B$11)*(1+'DRIPE - Blended'!$B$12)*(1+'DRIPE - Blended'!$B$13)</f>
        <v>67.332550425318487</v>
      </c>
      <c r="C13" s="47">
        <f>(-'Gross Demand'!Q12*'Price Schedule'!$H14)*'DRIPE LFE (Table 146)'!$K18*12*(1+'DRIPE - Blended'!$B$11)*(1+'DRIPE - Blended'!$B$12)*(1+'DRIPE - Blended'!$B$13)</f>
        <v>5.4056937869911179</v>
      </c>
      <c r="D13" s="47">
        <f>(-'Gross Demand'!R12*'Price Schedule'!$H14)*'DRIPE LFE (Table 146)'!$K18*12*(1+'DRIPE - Blended'!$B$11)*(1+'DRIPE - Blended'!$B$12)*(1+'DRIPE - Blended'!$B$13)</f>
        <v>6.7903676843868093</v>
      </c>
      <c r="E13" s="47">
        <f>(-'Gross Demand'!S12*'Price Schedule'!$H14)*'DRIPE LFE (Table 146)'!$K18*12*(1+'DRIPE - Blended'!$B$11)*(1+'DRIPE - Blended'!$B$12)*(1+'DRIPE - Blended'!$B$13)</f>
        <v>0.74307853432929849</v>
      </c>
      <c r="F13" s="47">
        <f>(-'Gross Demand'!T12*'Price Schedule'!$H14)*'DRIPE LFE (Table 146)'!$K18*12*(1+'DRIPE - Blended'!$B$11)*(1+'DRIPE - Blended'!$B$12)*(1+'DRIPE - Blended'!$B$13)</f>
        <v>15.874093242135269</v>
      </c>
      <c r="G13" s="47">
        <f>(-'Gross Demand'!U12*'Price Schedule'!$H14)*'DRIPE LFE (Table 146)'!$K18*12*(1+'DRIPE - Blended'!$B$11)*(1+'DRIPE - Blended'!$B$12)*(1+'DRIPE - Blended'!$B$13)</f>
        <v>1.6319422198660432</v>
      </c>
      <c r="H13" s="47">
        <f>(-'Gross Demand'!V12*'Price Schedule'!$H14)*'DRIPE LFE (Table 146)'!$K18*12*(1+'DRIPE - Blended'!$B$11)*(1+'DRIPE - Blended'!$B$12)*(1+'DRIPE - Blended'!$B$13)</f>
        <v>33.450510835930494</v>
      </c>
      <c r="I13" s="48">
        <f t="shared" si="2"/>
        <v>0</v>
      </c>
      <c r="J13" s="48">
        <f t="shared" si="1"/>
        <v>61.926856638327372</v>
      </c>
      <c r="K13" s="48">
        <f t="shared" si="1"/>
        <v>60.542182740931679</v>
      </c>
      <c r="L13" s="48">
        <f t="shared" si="1"/>
        <v>66.589471890989188</v>
      </c>
      <c r="M13" s="48">
        <f t="shared" si="1"/>
        <v>51.458457183183221</v>
      </c>
      <c r="N13" s="48">
        <f t="shared" si="1"/>
        <v>65.70060820545244</v>
      </c>
      <c r="O13" s="48">
        <f t="shared" si="1"/>
        <v>33.882039589387993</v>
      </c>
    </row>
    <row r="14" spans="1:15" x14ac:dyDescent="0.3">
      <c r="A14">
        <f t="shared" si="3"/>
        <v>2025</v>
      </c>
      <c r="B14" s="47">
        <f>(-'Gross Demand'!P13*'Price Schedule'!$H15)*'DRIPE LFE (Table 146)'!$K19*12*(1+'DRIPE - Blended'!$B$11)*(1+'DRIPE - Blended'!$B$12)*(1+'DRIPE - Blended'!$B$13)</f>
        <v>1092.9090657281836</v>
      </c>
      <c r="C14" s="47">
        <f>(-'Gross Demand'!Q13*'Price Schedule'!$H15)*'DRIPE LFE (Table 146)'!$K19*12*(1+'DRIPE - Blended'!$B$11)*(1+'DRIPE - Blended'!$B$12)*(1+'DRIPE - Blended'!$B$13)</f>
        <v>87.60212530771274</v>
      </c>
      <c r="D14" s="47">
        <f>(-'Gross Demand'!R13*'Price Schedule'!$H15)*'DRIPE LFE (Table 146)'!$K19*12*(1+'DRIPE - Blended'!$B$11)*(1+'DRIPE - Blended'!$B$12)*(1+'DRIPE - Blended'!$B$13)</f>
        <v>109.9004843607236</v>
      </c>
      <c r="E14" s="47">
        <f>(-'Gross Demand'!S13*'Price Schedule'!$H15)*'DRIPE LFE (Table 146)'!$K19*12*(1+'DRIPE - Blended'!$B$11)*(1+'DRIPE - Blended'!$B$12)*(1+'DRIPE - Blended'!$B$13)</f>
        <v>11.997777336155373</v>
      </c>
      <c r="F14" s="47">
        <f>(-'Gross Demand'!T13*'Price Schedule'!$H15)*'DRIPE LFE (Table 146)'!$K19*12*(1+'DRIPE - Blended'!$B$11)*(1+'DRIPE - Blended'!$B$12)*(1+'DRIPE - Blended'!$B$13)</f>
        <v>258.22429125176956</v>
      </c>
      <c r="G14" s="47">
        <f>(-'Gross Demand'!U13*'Price Schedule'!$H15)*'DRIPE LFE (Table 146)'!$K19*12*(1+'DRIPE - Blended'!$B$11)*(1+'DRIPE - Blended'!$B$12)*(1+'DRIPE - Blended'!$B$13)</f>
        <v>26.56785500284796</v>
      </c>
      <c r="H14" s="47">
        <f>(-'Gross Demand'!V13*'Price Schedule'!$H15)*'DRIPE LFE (Table 146)'!$K19*12*(1+'DRIPE - Blended'!$B$11)*(1+'DRIPE - Blended'!$B$12)*(1+'DRIPE - Blended'!$B$13)</f>
        <v>543.03577378411751</v>
      </c>
      <c r="I14" s="48">
        <f t="shared" si="2"/>
        <v>0</v>
      </c>
      <c r="J14" s="48">
        <f t="shared" si="1"/>
        <v>1005.3069404204708</v>
      </c>
      <c r="K14" s="48">
        <f t="shared" si="1"/>
        <v>983.00858136746001</v>
      </c>
      <c r="L14" s="48">
        <f t="shared" si="1"/>
        <v>1080.9112883920282</v>
      </c>
      <c r="M14" s="48">
        <f t="shared" si="1"/>
        <v>834.68477447641408</v>
      </c>
      <c r="N14" s="48">
        <f t="shared" si="1"/>
        <v>1066.3412107253357</v>
      </c>
      <c r="O14" s="48">
        <f t="shared" si="1"/>
        <v>549.87329194406607</v>
      </c>
    </row>
    <row r="15" spans="1:15" x14ac:dyDescent="0.3">
      <c r="A15">
        <f t="shared" si="3"/>
        <v>2026</v>
      </c>
      <c r="B15" s="47">
        <f>(-'Gross Demand'!P14*'Price Schedule'!$H16)*'DRIPE LFE (Table 146)'!$K20*12*(1+'DRIPE - Blended'!$B$11)*(1+'DRIPE - Blended'!$B$12)*(1+'DRIPE - Blended'!$B$13)</f>
        <v>1335.5643554874384</v>
      </c>
      <c r="C15" s="47">
        <f>(-'Gross Demand'!Q14*'Price Schedule'!$H16)*'DRIPE LFE (Table 146)'!$K20*12*(1+'DRIPE - Blended'!$B$11)*(1+'DRIPE - Blended'!$B$12)*(1+'DRIPE - Blended'!$B$13)</f>
        <v>107.02456625522554</v>
      </c>
      <c r="D15" s="47">
        <f>(-'Gross Demand'!R14*'Price Schedule'!$H16)*'DRIPE LFE (Table 146)'!$K20*12*(1+'DRIPE - Blended'!$B$11)*(1+'DRIPE - Blended'!$B$12)*(1+'DRIPE - Blended'!$B$13)</f>
        <v>134.21451486218336</v>
      </c>
      <c r="E15" s="47">
        <f>(-'Gross Demand'!S14*'Price Schedule'!$H16)*'DRIPE LFE (Table 146)'!$K20*12*(1+'DRIPE - Blended'!$B$11)*(1+'DRIPE - Blended'!$B$12)*(1+'DRIPE - Blended'!$B$13)</f>
        <v>14.671285783139236</v>
      </c>
      <c r="F15" s="47">
        <f>(-'Gross Demand'!T14*'Price Schedule'!$H16)*'DRIPE LFE (Table 146)'!$K20*12*(1+'DRIPE - Blended'!$B$11)*(1+'DRIPE - Blended'!$B$12)*(1+'DRIPE - Blended'!$B$13)</f>
        <v>314.23767053211895</v>
      </c>
      <c r="G15" s="47">
        <f>(-'Gross Demand'!U14*'Price Schedule'!$H16)*'DRIPE LFE (Table 146)'!$K20*12*(1+'DRIPE - Blended'!$B$11)*(1+'DRIPE - Blended'!$B$12)*(1+'DRIPE - Blended'!$B$13)</f>
        <v>32.713293445619847</v>
      </c>
      <c r="H15" s="47">
        <f>(-'Gross Demand'!V14*'Price Schedule'!$H16)*'DRIPE LFE (Table 146)'!$K20*12*(1+'DRIPE - Blended'!$B$11)*(1+'DRIPE - Blended'!$B$12)*(1+'DRIPE - Blended'!$B$13)</f>
        <v>664.99883493233835</v>
      </c>
      <c r="I15" s="48">
        <f t="shared" si="2"/>
        <v>0</v>
      </c>
      <c r="J15" s="48">
        <f t="shared" si="1"/>
        <v>1228.5397892322128</v>
      </c>
      <c r="K15" s="48">
        <f t="shared" si="1"/>
        <v>1201.3498406252552</v>
      </c>
      <c r="L15" s="48">
        <f t="shared" si="1"/>
        <v>1320.8930697042993</v>
      </c>
      <c r="M15" s="48">
        <f t="shared" si="1"/>
        <v>1021.3266849553195</v>
      </c>
      <c r="N15" s="48">
        <f t="shared" si="1"/>
        <v>1302.8510620418185</v>
      </c>
      <c r="O15" s="48">
        <f t="shared" si="1"/>
        <v>670.56552055510008</v>
      </c>
    </row>
    <row r="16" spans="1:15" x14ac:dyDescent="0.3">
      <c r="A16">
        <f t="shared" si="3"/>
        <v>2027</v>
      </c>
      <c r="B16" s="47">
        <f>(-'Gross Demand'!P15*'Price Schedule'!$H17)*'DRIPE LFE (Table 146)'!$K21*12*(1+'DRIPE - Blended'!$B$11)*(1+'DRIPE - Blended'!$B$12)*(1+'DRIPE - Blended'!$B$13)</f>
        <v>1302.6535472434032</v>
      </c>
      <c r="C16" s="47">
        <f>(-'Gross Demand'!Q15*'Price Schedule'!$H17)*'DRIPE LFE (Table 146)'!$K21*12*(1+'DRIPE - Blended'!$B$11)*(1+'DRIPE - Blended'!$B$12)*(1+'DRIPE - Blended'!$B$13)</f>
        <v>104.38728040452514</v>
      </c>
      <c r="D16" s="47">
        <f>(-'Gross Demand'!R15*'Price Schedule'!$H17)*'DRIPE LFE (Table 146)'!$K21*12*(1+'DRIPE - Blended'!$B$11)*(1+'DRIPE - Blended'!$B$12)*(1+'DRIPE - Blended'!$B$13)</f>
        <v>130.90721773041511</v>
      </c>
      <c r="E16" s="47">
        <f>(-'Gross Demand'!S15*'Price Schedule'!$H17)*'DRIPE LFE (Table 146)'!$K21*12*(1+'DRIPE - Blended'!$B$11)*(1+'DRIPE - Blended'!$B$12)*(1+'DRIPE - Blended'!$B$13)</f>
        <v>14.309757810998866</v>
      </c>
      <c r="F16" s="47">
        <f>(-'Gross Demand'!T15*'Price Schedule'!$H17)*'DRIPE LFE (Table 146)'!$K21*12*(1+'DRIPE - Blended'!$B$11)*(1+'DRIPE - Blended'!$B$12)*(1+'DRIPE - Blended'!$B$13)</f>
        <v>306.49426552475745</v>
      </c>
      <c r="G16" s="47">
        <f>(-'Gross Demand'!U15*'Price Schedule'!$H17)*'DRIPE LFE (Table 146)'!$K21*12*(1+'DRIPE - Blended'!$B$11)*(1+'DRIPE - Blended'!$B$12)*(1+'DRIPE - Blended'!$B$13)</f>
        <v>31.90717659831396</v>
      </c>
      <c r="H16" s="47">
        <f>(-'Gross Demand'!V15*'Price Schedule'!$H17)*'DRIPE LFE (Table 146)'!$K21*12*(1+'DRIPE - Blended'!$B$11)*(1+'DRIPE - Blended'!$B$12)*(1+'DRIPE - Blended'!$B$13)</f>
        <v>648.6120175925048</v>
      </c>
      <c r="I16" s="48">
        <f t="shared" si="2"/>
        <v>0</v>
      </c>
      <c r="J16" s="48">
        <f t="shared" si="1"/>
        <v>1198.266266838878</v>
      </c>
      <c r="K16" s="48">
        <f t="shared" si="1"/>
        <v>1171.746329512988</v>
      </c>
      <c r="L16" s="48">
        <f t="shared" si="1"/>
        <v>1288.3437894324043</v>
      </c>
      <c r="M16" s="48">
        <f t="shared" si="1"/>
        <v>996.15928171864573</v>
      </c>
      <c r="N16" s="48">
        <f t="shared" si="1"/>
        <v>1270.7463706450892</v>
      </c>
      <c r="O16" s="48">
        <f t="shared" si="1"/>
        <v>654.04152965089838</v>
      </c>
    </row>
    <row r="17" spans="1:15" x14ac:dyDescent="0.3">
      <c r="A17">
        <f t="shared" si="3"/>
        <v>2028</v>
      </c>
      <c r="B17" s="47">
        <f>(-'Gross Demand'!P16*'Price Schedule'!$H18)*'DRIPE LFE (Table 146)'!$K22*12*(1+'DRIPE - Blended'!$B$11)*(1+'DRIPE - Blended'!$B$12)*(1+'DRIPE - Blended'!$B$13)</f>
        <v>982.70768249568687</v>
      </c>
      <c r="C17" s="47">
        <f>(-'Gross Demand'!Q16*'Price Schedule'!$H18)*'DRIPE LFE (Table 146)'!$K22*12*(1+'DRIPE - Blended'!$B$11)*(1+'DRIPE - Blended'!$B$12)*(1+'DRIPE - Blended'!$B$13)</f>
        <v>78.748630152227804</v>
      </c>
      <c r="D17" s="47">
        <f>(-'Gross Demand'!R16*'Price Schedule'!$H18)*'DRIPE LFE (Table 146)'!$K22*12*(1+'DRIPE - Blended'!$B$11)*(1+'DRIPE - Blended'!$B$12)*(1+'DRIPE - Blended'!$B$13)</f>
        <v>98.754982727404538</v>
      </c>
      <c r="E17" s="47">
        <f>(-'Gross Demand'!S16*'Price Schedule'!$H18)*'DRIPE LFE (Table 146)'!$K22*12*(1+'DRIPE - Blended'!$B$11)*(1+'DRIPE - Blended'!$B$12)*(1+'DRIPE - Blended'!$B$13)</f>
        <v>10.795125814748715</v>
      </c>
      <c r="F17" s="47">
        <f>(-'Gross Demand'!T16*'Price Schedule'!$H18)*'DRIPE LFE (Table 146)'!$K22*12*(1+'DRIPE - Blended'!$B$11)*(1+'DRIPE - Blended'!$B$12)*(1+'DRIPE - Blended'!$B$13)</f>
        <v>231.215943801344</v>
      </c>
      <c r="G17" s="47">
        <f>(-'Gross Demand'!U16*'Price Schedule'!$H18)*'DRIPE LFE (Table 146)'!$K22*12*(1+'DRIPE - Blended'!$B$11)*(1+'DRIPE - Blended'!$B$12)*(1+'DRIPE - Blended'!$B$13)</f>
        <v>24.070427349053929</v>
      </c>
      <c r="H17" s="47">
        <f>(-'Gross Demand'!V16*'Price Schedule'!$H18)*'DRIPE LFE (Table 146)'!$K22*12*(1+'DRIPE - Blended'!$B$11)*(1+'DRIPE - Blended'!$B$12)*(1+'DRIPE - Blended'!$B$13)</f>
        <v>489.30585879568747</v>
      </c>
      <c r="I17" s="48">
        <f t="shared" si="2"/>
        <v>0</v>
      </c>
      <c r="J17" s="48">
        <f t="shared" si="1"/>
        <v>903.95905234345901</v>
      </c>
      <c r="K17" s="48">
        <f t="shared" si="1"/>
        <v>883.95269976828229</v>
      </c>
      <c r="L17" s="48">
        <f t="shared" si="1"/>
        <v>971.91255668093811</v>
      </c>
      <c r="M17" s="48">
        <f t="shared" si="1"/>
        <v>751.49173869434287</v>
      </c>
      <c r="N17" s="48">
        <f t="shared" si="1"/>
        <v>958.63725514663292</v>
      </c>
      <c r="O17" s="48">
        <f t="shared" si="1"/>
        <v>493.4018236999994</v>
      </c>
    </row>
    <row r="18" spans="1:15" x14ac:dyDescent="0.3">
      <c r="A18">
        <f t="shared" si="3"/>
        <v>2029</v>
      </c>
      <c r="B18" s="47">
        <f>(-'Gross Demand'!P17*'Price Schedule'!$H19)*'DRIPE LFE (Table 146)'!$K23*12*(1+'DRIPE - Blended'!$B$11)*(1+'DRIPE - Blended'!$B$12)*(1+'DRIPE - Blended'!$B$13)</f>
        <v>657.58151415887187</v>
      </c>
      <c r="C18" s="47">
        <f>(-'Gross Demand'!Q17*'Price Schedule'!$H19)*'DRIPE LFE (Table 146)'!$K23*12*(1+'DRIPE - Blended'!$B$11)*(1+'DRIPE - Blended'!$B$12)*(1+'DRIPE - Blended'!$B$13)</f>
        <v>52.694859698185191</v>
      </c>
      <c r="D18" s="47">
        <f>(-'Gross Demand'!R17*'Price Schedule'!$H19)*'DRIPE LFE (Table 146)'!$K23*12*(1+'DRIPE - Blended'!$B$11)*(1+'DRIPE - Blended'!$B$12)*(1+'DRIPE - Blended'!$B$13)</f>
        <v>66.082164848553433</v>
      </c>
      <c r="E18" s="47">
        <f>(-'Gross Demand'!S17*'Price Schedule'!$H19)*'DRIPE LFE (Table 146)'!$K23*12*(1+'DRIPE - Blended'!$B$11)*(1+'DRIPE - Blended'!$B$12)*(1+'DRIPE - Blended'!$B$13)</f>
        <v>7.2235877517210119</v>
      </c>
      <c r="F18" s="47">
        <f>(-'Gross Demand'!T17*'Price Schedule'!$H19)*'DRIPE LFE (Table 146)'!$K23*12*(1+'DRIPE - Blended'!$B$11)*(1+'DRIPE - Blended'!$B$12)*(1+'DRIPE - Blended'!$B$13)</f>
        <v>154.71877663195912</v>
      </c>
      <c r="G18" s="47">
        <f>(-'Gross Demand'!U17*'Price Schedule'!$H19)*'DRIPE LFE (Table 146)'!$K23*12*(1+'DRIPE - Blended'!$B$11)*(1+'DRIPE - Blended'!$B$12)*(1+'DRIPE - Blended'!$B$13)</f>
        <v>16.106791820782849</v>
      </c>
      <c r="H18" s="47">
        <f>(-'Gross Demand'!V17*'Price Schedule'!$H19)*'DRIPE LFE (Table 146)'!$K23*12*(1+'DRIPE - Blended'!$B$11)*(1+'DRIPE - Blended'!$B$12)*(1+'DRIPE - Blended'!$B$13)</f>
        <v>327.42034406054154</v>
      </c>
      <c r="I18" s="48">
        <f t="shared" si="2"/>
        <v>0</v>
      </c>
      <c r="J18" s="48">
        <f t="shared" si="1"/>
        <v>604.88665446068671</v>
      </c>
      <c r="K18" s="48">
        <f t="shared" si="1"/>
        <v>591.49934931031839</v>
      </c>
      <c r="L18" s="48">
        <f t="shared" si="1"/>
        <v>650.3579264071509</v>
      </c>
      <c r="M18" s="48">
        <f t="shared" si="1"/>
        <v>502.86273752691272</v>
      </c>
      <c r="N18" s="48">
        <f t="shared" si="1"/>
        <v>641.47472233808901</v>
      </c>
      <c r="O18" s="48">
        <f t="shared" si="1"/>
        <v>330.16117009833033</v>
      </c>
    </row>
    <row r="19" spans="1:15" x14ac:dyDescent="0.3">
      <c r="A19">
        <f t="shared" si="3"/>
        <v>2030</v>
      </c>
      <c r="B19" s="47">
        <f>(-'Gross Demand'!P18*'Price Schedule'!$H20)*'DRIPE LFE (Table 146)'!$K24*12*(1+'DRIPE - Blended'!$B$11)*(1+'DRIPE - Blended'!$B$12)*(1+'DRIPE - Blended'!$B$13)</f>
        <v>325.6633868108508</v>
      </c>
      <c r="C19" s="47">
        <f>(-'Gross Demand'!Q18*'Price Schedule'!$H20)*'DRIPE LFE (Table 146)'!$K24*12*(1+'DRIPE - Blended'!$B$11)*(1+'DRIPE - Blended'!$B$12)*(1+'DRIPE - Blended'!$B$13)</f>
        <v>26.096820101131286</v>
      </c>
      <c r="D19" s="47">
        <f>(-'Gross Demand'!R18*'Price Schedule'!$H20)*'DRIPE LFE (Table 146)'!$K24*12*(1+'DRIPE - Blended'!$B$11)*(1+'DRIPE - Blended'!$B$12)*(1+'DRIPE - Blended'!$B$13)</f>
        <v>32.726804432603778</v>
      </c>
      <c r="E19" s="47">
        <f>(-'Gross Demand'!S18*'Price Schedule'!$H20)*'DRIPE LFE (Table 146)'!$K24*12*(1+'DRIPE - Blended'!$B$11)*(1+'DRIPE - Blended'!$B$12)*(1+'DRIPE - Blended'!$B$13)</f>
        <v>3.5774394527497164</v>
      </c>
      <c r="F19" s="47">
        <f>(-'Gross Demand'!T18*'Price Schedule'!$H20)*'DRIPE LFE (Table 146)'!$K24*12*(1+'DRIPE - Blended'!$B$11)*(1+'DRIPE - Blended'!$B$12)*(1+'DRIPE - Blended'!$B$13)</f>
        <v>76.623566381189363</v>
      </c>
      <c r="G19" s="47">
        <f>(-'Gross Demand'!U18*'Price Schedule'!$H20)*'DRIPE LFE (Table 146)'!$K24*12*(1+'DRIPE - Blended'!$B$11)*(1+'DRIPE - Blended'!$B$12)*(1+'DRIPE - Blended'!$B$13)</f>
        <v>7.97679414957849</v>
      </c>
      <c r="H19" s="47">
        <f>(-'Gross Demand'!V18*'Price Schedule'!$H20)*'DRIPE LFE (Table 146)'!$K24*12*(1+'DRIPE - Blended'!$B$11)*(1+'DRIPE - Blended'!$B$12)*(1+'DRIPE - Blended'!$B$13)</f>
        <v>162.1530043981262</v>
      </c>
      <c r="I19" s="48">
        <f t="shared" si="2"/>
        <v>0</v>
      </c>
      <c r="J19" s="48">
        <f t="shared" si="1"/>
        <v>299.5665667097195</v>
      </c>
      <c r="K19" s="48">
        <f t="shared" si="1"/>
        <v>292.93658237824701</v>
      </c>
      <c r="L19" s="48">
        <f t="shared" si="1"/>
        <v>322.08594735810107</v>
      </c>
      <c r="M19" s="48">
        <f t="shared" si="1"/>
        <v>249.03982042966143</v>
      </c>
      <c r="N19" s="48">
        <f t="shared" si="1"/>
        <v>317.6865926612723</v>
      </c>
      <c r="O19" s="48">
        <f t="shared" si="1"/>
        <v>163.5103824127246</v>
      </c>
    </row>
    <row r="20" spans="1:15" x14ac:dyDescent="0.3">
      <c r="A20">
        <f t="shared" si="3"/>
        <v>2031</v>
      </c>
      <c r="B20" s="47">
        <f>(-'Gross Demand'!P19*'Price Schedule'!$H21)*'DRIPE LFE (Table 146)'!$K25*12*(1+'DRIPE - Blended'!$B$11)*(1+'DRIPE - Blended'!$B$12)*(1+'DRIPE - Blended'!$B$13)</f>
        <v>159.97566924348396</v>
      </c>
      <c r="C20" s="47">
        <f>(-'Gross Demand'!Q19*'Price Schedule'!$H21)*'DRIPE LFE (Table 146)'!$K25*12*(1+'DRIPE - Blended'!$B$11)*(1+'DRIPE - Blended'!$B$12)*(1+'DRIPE - Blended'!$B$13)</f>
        <v>12.81954444338592</v>
      </c>
      <c r="D20" s="47">
        <f>(-'Gross Demand'!R19*'Price Schedule'!$H21)*'DRIPE LFE (Table 146)'!$K25*12*(1+'DRIPE - Blended'!$B$11)*(1+'DRIPE - Blended'!$B$12)*(1+'DRIPE - Blended'!$B$13)</f>
        <v>16.076392537019345</v>
      </c>
      <c r="E20" s="47">
        <f>(-'Gross Demand'!S19*'Price Schedule'!$H21)*'DRIPE LFE (Table 146)'!$K25*12*(1+'DRIPE - Blended'!$B$11)*(1+'DRIPE - Blended'!$B$12)*(1+'DRIPE - Blended'!$B$13)</f>
        <v>1.7573460628660702</v>
      </c>
      <c r="F20" s="47">
        <f>(-'Gross Demand'!T19*'Price Schedule'!$H21)*'DRIPE LFE (Table 146)'!$K25*12*(1+'DRIPE - Blended'!$B$11)*(1+'DRIPE - Blended'!$B$12)*(1+'DRIPE - Blended'!$B$13)</f>
        <v>37.639804804869947</v>
      </c>
      <c r="G20" s="47">
        <f>(-'Gross Demand'!U19*'Price Schedule'!$H21)*'DRIPE LFE (Table 146)'!$K25*12*(1+'DRIPE - Blended'!$B$11)*(1+'DRIPE - Blended'!$B$12)*(1+'DRIPE - Blended'!$B$13)</f>
        <v>3.9184416614738962</v>
      </c>
      <c r="H20" s="47">
        <f>(-'Gross Demand'!V19*'Price Schedule'!$H21)*'DRIPE LFE (Table 146)'!$K25*12*(1+'DRIPE - Blended'!$B$11)*(1+'DRIPE - Blended'!$B$12)*(1+'DRIPE - Blended'!$B$13)</f>
        <v>79.654442129530537</v>
      </c>
      <c r="I20" s="48">
        <f t="shared" si="2"/>
        <v>0</v>
      </c>
      <c r="J20" s="48">
        <f t="shared" si="1"/>
        <v>147.15612480009804</v>
      </c>
      <c r="K20" s="48">
        <f t="shared" si="1"/>
        <v>143.8992767064646</v>
      </c>
      <c r="L20" s="48">
        <f t="shared" si="1"/>
        <v>158.21832318061789</v>
      </c>
      <c r="M20" s="48">
        <f t="shared" si="1"/>
        <v>122.33586443861401</v>
      </c>
      <c r="N20" s="48">
        <f t="shared" si="1"/>
        <v>156.05722758201006</v>
      </c>
      <c r="O20" s="48">
        <f t="shared" si="1"/>
        <v>80.321227113953427</v>
      </c>
    </row>
    <row r="21" spans="1:15" x14ac:dyDescent="0.3">
      <c r="A21">
        <f t="shared" si="3"/>
        <v>2032</v>
      </c>
      <c r="B21" s="47">
        <f>(-'Gross Demand'!P20*'Price Schedule'!$H22)*'DRIPE LFE (Table 146)'!$K26*12*(1+'DRIPE - Blended'!$B$11)*(1+'DRIPE - Blended'!$B$12)*(1+'DRIPE - Blended'!$B$13)</f>
        <v>48.709741789546065</v>
      </c>
      <c r="C21" s="47">
        <f>(-'Gross Demand'!Q20*'Price Schedule'!$H22)*'DRIPE LFE (Table 146)'!$K26*12*(1+'DRIPE - Blended'!$B$11)*(1+'DRIPE - Blended'!$B$12)*(1+'DRIPE - Blended'!$B$13)</f>
        <v>3.9033229406063104</v>
      </c>
      <c r="D21" s="47">
        <f>(-'Gross Demand'!R20*'Price Schedule'!$H22)*'DRIPE LFE (Table 146)'!$K26*12*(1+'DRIPE - Blended'!$B$11)*(1+'DRIPE - Blended'!$B$12)*(1+'DRIPE - Blended'!$B$13)</f>
        <v>4.8949751739669214</v>
      </c>
      <c r="E21" s="47">
        <f>(-'Gross Demand'!S20*'Price Schedule'!$H22)*'DRIPE LFE (Table 146)'!$K26*12*(1+'DRIPE - Blended'!$B$11)*(1+'DRIPE - Blended'!$B$12)*(1+'DRIPE - Blended'!$B$13)</f>
        <v>0.53508057420155641</v>
      </c>
      <c r="F21" s="47">
        <f>(-'Gross Demand'!T20*'Price Schedule'!$H22)*'DRIPE LFE (Table 146)'!$K26*12*(1+'DRIPE - Blended'!$B$11)*(1+'DRIPE - Blended'!$B$12)*(1+'DRIPE - Blended'!$B$13)</f>
        <v>11.460650120885859</v>
      </c>
      <c r="G21" s="47">
        <f>(-'Gross Demand'!U20*'Price Schedule'!$H22)*'DRIPE LFE (Table 146)'!$K26*12*(1+'DRIPE - Blended'!$B$11)*(1+'DRIPE - Blended'!$B$12)*(1+'DRIPE - Blended'!$B$13)</f>
        <v>1.1930956904283594</v>
      </c>
      <c r="H21" s="47">
        <f>(-'Gross Demand'!V20*'Price Schedule'!$H22)*'DRIPE LFE (Table 146)'!$K26*12*(1+'DRIPE - Blended'!$B$11)*(1+'DRIPE - Blended'!$B$12)*(1+'DRIPE - Blended'!$B$13)</f>
        <v>24.253358819299375</v>
      </c>
      <c r="I21" s="48">
        <f t="shared" si="2"/>
        <v>0</v>
      </c>
      <c r="J21" s="48">
        <f t="shared" si="1"/>
        <v>44.806418848939757</v>
      </c>
      <c r="K21" s="48">
        <f t="shared" si="1"/>
        <v>43.814766615579146</v>
      </c>
      <c r="L21" s="48">
        <f t="shared" si="1"/>
        <v>48.174661215344507</v>
      </c>
      <c r="M21" s="48">
        <f t="shared" si="1"/>
        <v>37.249091668660206</v>
      </c>
      <c r="N21" s="48">
        <f t="shared" si="1"/>
        <v>47.516646099117708</v>
      </c>
      <c r="O21" s="48">
        <f t="shared" si="1"/>
        <v>24.45638297024669</v>
      </c>
    </row>
    <row r="22" spans="1:15" x14ac:dyDescent="0.3">
      <c r="A22">
        <f t="shared" si="3"/>
        <v>2033</v>
      </c>
      <c r="B22" s="47">
        <f>(-'Gross Demand'!P21*'Price Schedule'!$H23)*'DRIPE LFE (Table 146)'!$K27*12*(1+'DRIPE - Blended'!$B$11)*(1+'DRIPE - Blended'!$B$12)*(1+'DRIPE - Blended'!$B$13)</f>
        <v>0</v>
      </c>
      <c r="C22" s="47">
        <f>(-'Gross Demand'!Q21*'Price Schedule'!$H23)*'DRIPE LFE (Table 146)'!$K27*12*(1+'DRIPE - Blended'!$B$11)*(1+'DRIPE - Blended'!$B$12)*(1+'DRIPE - Blended'!$B$13)</f>
        <v>0</v>
      </c>
      <c r="D22" s="47">
        <f>(-'Gross Demand'!R21*'Price Schedule'!$H23)*'DRIPE LFE (Table 146)'!$K27*12*(1+'DRIPE - Blended'!$B$11)*(1+'DRIPE - Blended'!$B$12)*(1+'DRIPE - Blended'!$B$13)</f>
        <v>0</v>
      </c>
      <c r="E22" s="47">
        <f>(-'Gross Demand'!S21*'Price Schedule'!$H23)*'DRIPE LFE (Table 146)'!$K27*12*(1+'DRIPE - Blended'!$B$11)*(1+'DRIPE - Blended'!$B$12)*(1+'DRIPE - Blended'!$B$13)</f>
        <v>0</v>
      </c>
      <c r="F22" s="47">
        <f>(-'Gross Demand'!T21*'Price Schedule'!$H23)*'DRIPE LFE (Table 146)'!$K27*12*(1+'DRIPE - Blended'!$B$11)*(1+'DRIPE - Blended'!$B$12)*(1+'DRIPE - Blended'!$B$13)</f>
        <v>0</v>
      </c>
      <c r="G22" s="47">
        <f>(-'Gross Demand'!U21*'Price Schedule'!$H23)*'DRIPE LFE (Table 146)'!$K27*12*(1+'DRIPE - Blended'!$B$11)*(1+'DRIPE - Blended'!$B$12)*(1+'DRIPE - Blended'!$B$13)</f>
        <v>0</v>
      </c>
      <c r="H22" s="47">
        <f>(-'Gross Demand'!V21*'Price Schedule'!$H23)*'DRIPE LFE (Table 146)'!$K27*12*(1+'DRIPE - Blended'!$B$11)*(1+'DRIPE - Blended'!$B$12)*(1+'DRIPE - Blended'!$B$13)</f>
        <v>0</v>
      </c>
      <c r="I22" s="48">
        <f t="shared" si="2"/>
        <v>0</v>
      </c>
      <c r="J22" s="48">
        <f t="shared" si="1"/>
        <v>0</v>
      </c>
      <c r="K22" s="48">
        <f t="shared" si="1"/>
        <v>0</v>
      </c>
      <c r="L22" s="48">
        <f t="shared" si="1"/>
        <v>0</v>
      </c>
      <c r="M22" s="48">
        <f t="shared" si="1"/>
        <v>0</v>
      </c>
      <c r="N22" s="48">
        <f t="shared" si="1"/>
        <v>0</v>
      </c>
      <c r="O22" s="48">
        <f t="shared" si="1"/>
        <v>0</v>
      </c>
    </row>
    <row r="23" spans="1:15" x14ac:dyDescent="0.3">
      <c r="A23">
        <f t="shared" si="3"/>
        <v>2034</v>
      </c>
      <c r="B23" s="47">
        <f>(-'Gross Demand'!P22*'Price Schedule'!$H24)*'DRIPE LFE (Table 146)'!$K28*12*(1+'DRIPE - Blended'!$B$11)*(1+'DRIPE - Blended'!$B$12)*(1+'DRIPE - Blended'!$B$13)</f>
        <v>0</v>
      </c>
      <c r="C23" s="47">
        <f>(-'Gross Demand'!Q22*'Price Schedule'!$H24)*'DRIPE LFE (Table 146)'!$K28*12*(1+'DRIPE - Blended'!$B$11)*(1+'DRIPE - Blended'!$B$12)*(1+'DRIPE - Blended'!$B$13)</f>
        <v>0</v>
      </c>
      <c r="D23" s="47">
        <f>(-'Gross Demand'!R22*'Price Schedule'!$H24)*'DRIPE LFE (Table 146)'!$K28*12*(1+'DRIPE - Blended'!$B$11)*(1+'DRIPE - Blended'!$B$12)*(1+'DRIPE - Blended'!$B$13)</f>
        <v>0</v>
      </c>
      <c r="E23" s="47">
        <f>(-'Gross Demand'!S22*'Price Schedule'!$H24)*'DRIPE LFE (Table 146)'!$K28*12*(1+'DRIPE - Blended'!$B$11)*(1+'DRIPE - Blended'!$B$12)*(1+'DRIPE - Blended'!$B$13)</f>
        <v>0</v>
      </c>
      <c r="F23" s="47">
        <f>(-'Gross Demand'!T22*'Price Schedule'!$H24)*'DRIPE LFE (Table 146)'!$K28*12*(1+'DRIPE - Blended'!$B$11)*(1+'DRIPE - Blended'!$B$12)*(1+'DRIPE - Blended'!$B$13)</f>
        <v>0</v>
      </c>
      <c r="G23" s="47">
        <f>(-'Gross Demand'!U22*'Price Schedule'!$H24)*'DRIPE LFE (Table 146)'!$K28*12*(1+'DRIPE - Blended'!$B$11)*(1+'DRIPE - Blended'!$B$12)*(1+'DRIPE - Blended'!$B$13)</f>
        <v>0</v>
      </c>
      <c r="H23" s="47">
        <f>(-'Gross Demand'!V22*'Price Schedule'!$H24)*'DRIPE LFE (Table 146)'!$K28*12*(1+'DRIPE - Blended'!$B$11)*(1+'DRIPE - Blended'!$B$12)*(1+'DRIPE - Blended'!$B$13)</f>
        <v>0</v>
      </c>
      <c r="I23" s="48">
        <f t="shared" si="2"/>
        <v>0</v>
      </c>
      <c r="J23" s="48">
        <f t="shared" si="1"/>
        <v>0</v>
      </c>
      <c r="K23" s="48">
        <f t="shared" si="1"/>
        <v>0</v>
      </c>
      <c r="L23" s="48">
        <f t="shared" si="1"/>
        <v>0</v>
      </c>
      <c r="M23" s="48">
        <f t="shared" si="1"/>
        <v>0</v>
      </c>
      <c r="N23" s="48">
        <f t="shared" si="1"/>
        <v>0</v>
      </c>
      <c r="O23" s="48">
        <f t="shared" si="1"/>
        <v>0</v>
      </c>
    </row>
    <row r="24" spans="1:15" x14ac:dyDescent="0.3">
      <c r="A24">
        <f t="shared" si="3"/>
        <v>2035</v>
      </c>
      <c r="B24" s="47">
        <f>(-'Gross Demand'!P23*'Price Schedule'!$H25)*'DRIPE LFE (Table 146)'!$K29*12*(1+'DRIPE - Blended'!$B$11)*(1+'DRIPE - Blended'!$B$12)*(1+'DRIPE - Blended'!$B$13)</f>
        <v>0</v>
      </c>
      <c r="C24" s="47">
        <f>(-'Gross Demand'!Q23*'Price Schedule'!$H25)*'DRIPE LFE (Table 146)'!$K29*12*(1+'DRIPE - Blended'!$B$11)*(1+'DRIPE - Blended'!$B$12)*(1+'DRIPE - Blended'!$B$13)</f>
        <v>0</v>
      </c>
      <c r="D24" s="47">
        <f>(-'Gross Demand'!R23*'Price Schedule'!$H25)*'DRIPE LFE (Table 146)'!$K29*12*(1+'DRIPE - Blended'!$B$11)*(1+'DRIPE - Blended'!$B$12)*(1+'DRIPE - Blended'!$B$13)</f>
        <v>0</v>
      </c>
      <c r="E24" s="47">
        <f>(-'Gross Demand'!S23*'Price Schedule'!$H25)*'DRIPE LFE (Table 146)'!$K29*12*(1+'DRIPE - Blended'!$B$11)*(1+'DRIPE - Blended'!$B$12)*(1+'DRIPE - Blended'!$B$13)</f>
        <v>0</v>
      </c>
      <c r="F24" s="47">
        <f>(-'Gross Demand'!T23*'Price Schedule'!$H25)*'DRIPE LFE (Table 146)'!$K29*12*(1+'DRIPE - Blended'!$B$11)*(1+'DRIPE - Blended'!$B$12)*(1+'DRIPE - Blended'!$B$13)</f>
        <v>0</v>
      </c>
      <c r="G24" s="47">
        <f>(-'Gross Demand'!U23*'Price Schedule'!$H25)*'DRIPE LFE (Table 146)'!$K29*12*(1+'DRIPE - Blended'!$B$11)*(1+'DRIPE - Blended'!$B$12)*(1+'DRIPE - Blended'!$B$13)</f>
        <v>0</v>
      </c>
      <c r="H24" s="47">
        <f>(-'Gross Demand'!V23*'Price Schedule'!$H25)*'DRIPE LFE (Table 146)'!$K29*12*(1+'DRIPE - Blended'!$B$11)*(1+'DRIPE - Blended'!$B$12)*(1+'DRIPE - Blended'!$B$13)</f>
        <v>0</v>
      </c>
      <c r="I24" s="48">
        <f t="shared" si="2"/>
        <v>0</v>
      </c>
      <c r="J24" s="48">
        <f t="shared" si="1"/>
        <v>0</v>
      </c>
      <c r="K24" s="48">
        <f t="shared" si="1"/>
        <v>0</v>
      </c>
      <c r="L24" s="48">
        <f t="shared" si="1"/>
        <v>0</v>
      </c>
      <c r="M24" s="48">
        <f t="shared" si="1"/>
        <v>0</v>
      </c>
      <c r="N24" s="48">
        <f t="shared" si="1"/>
        <v>0</v>
      </c>
      <c r="O24" s="48">
        <f t="shared" si="1"/>
        <v>0</v>
      </c>
    </row>
    <row r="25" spans="1:15" x14ac:dyDescent="0.3">
      <c r="A25" s="41" t="s">
        <v>70</v>
      </c>
      <c r="B25" s="71">
        <f>-PMT(1.34%,COUNT(B7:B16),NPV(1.34%,B7:B16))</f>
        <v>366.60834047342274</v>
      </c>
      <c r="C25" s="71">
        <f t="shared" ref="C25:O25" si="4">-PMT(1.34%,COUNT(C7:C16),NPV(1.34%,C7:C16))</f>
        <v>29.381576836205401</v>
      </c>
      <c r="D25" s="71">
        <f t="shared" si="4"/>
        <v>36.85145062087048</v>
      </c>
      <c r="E25" s="71">
        <f t="shared" si="4"/>
        <v>4.0271379713375932</v>
      </c>
      <c r="F25" s="71">
        <f t="shared" si="4"/>
        <v>86.371552045522208</v>
      </c>
      <c r="G25" s="71">
        <f t="shared" si="4"/>
        <v>8.9567836478007461</v>
      </c>
      <c r="H25" s="71">
        <f t="shared" si="4"/>
        <v>182.41367608365945</v>
      </c>
      <c r="I25" s="72">
        <f t="shared" si="4"/>
        <v>0</v>
      </c>
      <c r="J25" s="72">
        <f t="shared" si="4"/>
        <v>337.22676363721735</v>
      </c>
      <c r="K25" s="72">
        <f t="shared" si="4"/>
        <v>329.75688985255232</v>
      </c>
      <c r="L25" s="72">
        <f t="shared" si="4"/>
        <v>362.5812025020852</v>
      </c>
      <c r="M25" s="72">
        <f t="shared" si="4"/>
        <v>280.23678842790054</v>
      </c>
      <c r="N25" s="72">
        <f t="shared" si="4"/>
        <v>357.65155682562204</v>
      </c>
      <c r="O25" s="72">
        <f t="shared" si="4"/>
        <v>184.19466438976332</v>
      </c>
    </row>
    <row r="26" spans="1:15" x14ac:dyDescent="0.3">
      <c r="A26" s="55" t="s">
        <v>71</v>
      </c>
      <c r="B26" s="73">
        <f>-PMT(1.34%,COUNT(B7:B24),NPV(1.34%,B7:B24))</f>
        <v>331.18314268860269</v>
      </c>
      <c r="C26" s="73">
        <f t="shared" ref="C26:O26" si="5">-PMT(1.34%,COUNT(C7:C24),NPV(1.34%,C7:C24))</f>
        <v>26.541283050295458</v>
      </c>
      <c r="D26" s="73">
        <f t="shared" si="5"/>
        <v>33.28733534355937</v>
      </c>
      <c r="E26" s="73">
        <f t="shared" si="5"/>
        <v>3.6380245855212991</v>
      </c>
      <c r="F26" s="73">
        <f t="shared" si="5"/>
        <v>77.989124365379354</v>
      </c>
      <c r="G26" s="73">
        <f t="shared" si="5"/>
        <v>8.0985900443559693</v>
      </c>
      <c r="H26" s="73">
        <f t="shared" si="5"/>
        <v>164.82739499101072</v>
      </c>
      <c r="I26" s="74">
        <f t="shared" si="5"/>
        <v>0</v>
      </c>
      <c r="J26" s="74">
        <f t="shared" si="5"/>
        <v>304.64185963830715</v>
      </c>
      <c r="K26" s="74">
        <f t="shared" si="5"/>
        <v>297.89580734504324</v>
      </c>
      <c r="L26" s="74">
        <f t="shared" si="5"/>
        <v>327.54511810308134</v>
      </c>
      <c r="M26" s="74">
        <f t="shared" si="5"/>
        <v>253.1940183232233</v>
      </c>
      <c r="N26" s="74">
        <f t="shared" si="5"/>
        <v>323.08455264424668</v>
      </c>
      <c r="O26" s="74">
        <f t="shared" si="5"/>
        <v>166.35574769759197</v>
      </c>
    </row>
  </sheetData>
  <mergeCells count="3">
    <mergeCell ref="B4:O4"/>
    <mergeCell ref="B5:H5"/>
    <mergeCell ref="I5:O5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A7" workbookViewId="0">
      <selection activeCell="A4" sqref="A1:O4"/>
    </sheetView>
  </sheetViews>
  <sheetFormatPr defaultRowHeight="14.4" x14ac:dyDescent="0.3"/>
  <cols>
    <col min="1" max="1" width="18.33203125" bestFit="1" customWidth="1"/>
    <col min="9" max="9" width="17" bestFit="1" customWidth="1"/>
  </cols>
  <sheetData>
    <row r="1" spans="1:15" ht="23.4" x14ac:dyDescent="0.45">
      <c r="A1" s="80" t="s">
        <v>86</v>
      </c>
    </row>
    <row r="4" spans="1:15" x14ac:dyDescent="0.3">
      <c r="B4" s="281" t="s">
        <v>65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</row>
    <row r="5" spans="1:15" x14ac:dyDescent="0.3">
      <c r="A5" s="41"/>
      <c r="B5" s="284" t="s">
        <v>66</v>
      </c>
      <c r="C5" s="284"/>
      <c r="D5" s="284"/>
      <c r="E5" s="284"/>
      <c r="F5" s="284"/>
      <c r="G5" s="284"/>
      <c r="H5" s="284"/>
      <c r="I5" s="285" t="s">
        <v>67</v>
      </c>
      <c r="J5" s="285"/>
      <c r="K5" s="285"/>
      <c r="L5" s="285"/>
      <c r="M5" s="285"/>
      <c r="N5" s="285"/>
      <c r="O5" s="285"/>
    </row>
    <row r="6" spans="1:15" x14ac:dyDescent="0.3">
      <c r="A6" s="42" t="s">
        <v>1</v>
      </c>
      <c r="B6" s="43" t="str">
        <f>'Gross Demand'!P5</f>
        <v>ISO NE CA</v>
      </c>
      <c r="C6" s="43" t="str">
        <f>'Gross Demand'!Q5</f>
        <v>ME</v>
      </c>
      <c r="D6" s="43" t="str">
        <f>'Gross Demand'!R5</f>
        <v>NH</v>
      </c>
      <c r="E6" s="43" t="str">
        <f>'Gross Demand'!S5</f>
        <v>VT</v>
      </c>
      <c r="F6" s="43" t="str">
        <f>'Gross Demand'!T5</f>
        <v>CT</v>
      </c>
      <c r="G6" s="43" t="str">
        <f>'Gross Demand'!U5</f>
        <v>RI</v>
      </c>
      <c r="H6" s="43" t="str">
        <f>'Gross Demand'!V5</f>
        <v>MA</v>
      </c>
      <c r="I6" s="44" t="str">
        <f>B6</f>
        <v>ISO NE CA</v>
      </c>
      <c r="J6" s="44" t="str">
        <f t="shared" ref="J6:O6" si="0">C6</f>
        <v>ME</v>
      </c>
      <c r="K6" s="44" t="str">
        <f t="shared" si="0"/>
        <v>NH</v>
      </c>
      <c r="L6" s="44" t="str">
        <f t="shared" si="0"/>
        <v>VT</v>
      </c>
      <c r="M6" s="44" t="str">
        <f t="shared" si="0"/>
        <v>CT</v>
      </c>
      <c r="N6" s="44" t="str">
        <f t="shared" si="0"/>
        <v>RI</v>
      </c>
      <c r="O6" s="44" t="str">
        <f t="shared" si="0"/>
        <v>MA</v>
      </c>
    </row>
    <row r="7" spans="1:15" x14ac:dyDescent="0.3">
      <c r="A7">
        <v>2018</v>
      </c>
      <c r="B7" s="49">
        <f>(-'Gross Demand'!P6*'Price Schedule'!$G8)*'DRIPE FCM Bid Responsive Share'!$I13*(1+'DRIPE - Blended'!$B$11)*12</f>
        <v>525.90389724158399</v>
      </c>
      <c r="C7" s="49">
        <f>(-'Gross Demand'!Q6*'Price Schedule'!$G8)*'DRIPE FCM Bid Responsive Share'!$I13*(1+'DRIPE - Blended'!$B$11)*12</f>
        <v>42.369600378207657</v>
      </c>
      <c r="D7" s="49">
        <f>(-'Gross Demand'!R6*'Price Schedule'!$G8)*'DRIPE FCM Bid Responsive Share'!$I13*(1+'DRIPE - Blended'!$B$11)*12</f>
        <v>52.828107147328893</v>
      </c>
      <c r="E7" s="49">
        <f>(-'Gross Demand'!S6*'Price Schedule'!$G8)*'DRIPE FCM Bid Responsive Share'!$I13*(1+'DRIPE - Blended'!$B$11)*12</f>
        <v>5.1335220969954918</v>
      </c>
      <c r="F7" s="49">
        <f>(-'Gross Demand'!T6*'Price Schedule'!$G8)*'DRIPE FCM Bid Responsive Share'!$I13*(1+'DRIPE - Blended'!$B$11)*12</f>
        <v>126.97655920457652</v>
      </c>
      <c r="G7" s="49">
        <f>(-'Gross Demand'!U6*'Price Schedule'!$G8)*'DRIPE FCM Bid Responsive Share'!$I13*(1+'DRIPE - Blended'!$B$11)*12</f>
        <v>10.766215674005213</v>
      </c>
      <c r="H7" s="49">
        <f>(-'Gross Demand'!V6*'Price Schedule'!$G8)*'DRIPE FCM Bid Responsive Share'!$I13*(1+'DRIPE - Blended'!$B$11)*12</f>
        <v>258.81130004569616</v>
      </c>
      <c r="I7" s="50">
        <f>$B7-B7</f>
        <v>0</v>
      </c>
      <c r="J7" s="50">
        <f t="shared" ref="J7:O7" si="1">$B7-C7</f>
        <v>483.53429686337631</v>
      </c>
      <c r="K7" s="50">
        <f t="shared" si="1"/>
        <v>473.07579009425513</v>
      </c>
      <c r="L7" s="50">
        <f t="shared" si="1"/>
        <v>520.77037514458846</v>
      </c>
      <c r="M7" s="50">
        <f t="shared" si="1"/>
        <v>398.92733803700747</v>
      </c>
      <c r="N7" s="50">
        <f t="shared" si="1"/>
        <v>515.13768156757874</v>
      </c>
      <c r="O7" s="50">
        <f t="shared" si="1"/>
        <v>267.09259719588783</v>
      </c>
    </row>
    <row r="8" spans="1:15" x14ac:dyDescent="0.3">
      <c r="A8">
        <f>A7+1</f>
        <v>2019</v>
      </c>
      <c r="B8" s="49">
        <f>(-'Gross Demand'!P7*'Price Schedule'!$G9)*'DRIPE FCM Bid Responsive Share'!$I14*(1+'DRIPE - Blended'!$B$11)*12</f>
        <v>275.40670790511007</v>
      </c>
      <c r="C8" s="49">
        <f>(-'Gross Demand'!Q7*'Price Schedule'!$G9)*'DRIPE FCM Bid Responsive Share'!$I14*(1+'DRIPE - Blended'!$B$11)*12</f>
        <v>22.198693932124804</v>
      </c>
      <c r="D8" s="49">
        <f>(-'Gross Demand'!R7*'Price Schedule'!$G9)*'DRIPE FCM Bid Responsive Share'!$I14*(1+'DRIPE - Blended'!$B$11)*12</f>
        <v>27.82444545352147</v>
      </c>
      <c r="E8" s="49">
        <f>(-'Gross Demand'!S7*'Price Schedule'!$G9)*'DRIPE FCM Bid Responsive Share'!$I14*(1+'DRIPE - Blended'!$B$11)*12</f>
        <v>2.5457543593883925</v>
      </c>
      <c r="F8" s="49">
        <f>(-'Gross Demand'!T7*'Price Schedule'!$G9)*'DRIPE FCM Bid Responsive Share'!$I14*(1+'DRIPE - Blended'!$B$11)*12</f>
        <v>65.970866758283279</v>
      </c>
      <c r="G8" s="49">
        <f>(-'Gross Demand'!U7*'Price Schedule'!$G9)*'DRIPE FCM Bid Responsive Share'!$I14*(1+'DRIPE - Blended'!$B$11)*12</f>
        <v>5.3759812937946174</v>
      </c>
      <c r="H8" s="49">
        <f>(-'Gross Demand'!V7*'Price Schedule'!$G9)*'DRIPE FCM Bid Responsive Share'!$I14*(1+'DRIPE - Blended'!$B$11)*12</f>
        <v>136.02710880141439</v>
      </c>
      <c r="I8" s="50">
        <f t="shared" ref="I8:I24" si="2">$B8-B8</f>
        <v>0</v>
      </c>
      <c r="J8" s="50">
        <f t="shared" ref="J8:J24" si="3">$B8-C8</f>
        <v>253.20801397298527</v>
      </c>
      <c r="K8" s="50">
        <f t="shared" ref="K8:K24" si="4">$B8-D8</f>
        <v>247.5822624515886</v>
      </c>
      <c r="L8" s="50">
        <f t="shared" ref="L8:L24" si="5">$B8-E8</f>
        <v>272.86095354572166</v>
      </c>
      <c r="M8" s="50">
        <f t="shared" ref="M8:M24" si="6">$B8-F8</f>
        <v>209.43584114682679</v>
      </c>
      <c r="N8" s="50">
        <f t="shared" ref="N8:N24" si="7">$B8-G8</f>
        <v>270.03072661131546</v>
      </c>
      <c r="O8" s="50">
        <f t="shared" ref="O8:O24" si="8">$B8-H8</f>
        <v>139.37959910369568</v>
      </c>
    </row>
    <row r="9" spans="1:15" x14ac:dyDescent="0.3">
      <c r="A9">
        <f t="shared" ref="A9:A24" si="9">A8+1</f>
        <v>2020</v>
      </c>
      <c r="B9" s="49">
        <f>(-'Gross Demand'!P8*'Price Schedule'!$G10)*'DRIPE FCM Bid Responsive Share'!$I15*(1+'DRIPE - Blended'!$B$11)*12</f>
        <v>335.17195323901689</v>
      </c>
      <c r="C9" s="49">
        <f>(-'Gross Demand'!Q8*'Price Schedule'!$G10)*'DRIPE FCM Bid Responsive Share'!$I15*(1+'DRIPE - Blended'!$B$11)*12</f>
        <v>26.876270063632585</v>
      </c>
      <c r="D9" s="49">
        <f>(-'Gross Demand'!R8*'Price Schedule'!$G10)*'DRIPE FCM Bid Responsive Share'!$I15*(1+'DRIPE - Blended'!$B$11)*12</f>
        <v>33.764395609838232</v>
      </c>
      <c r="E9" s="49">
        <f>(-'Gross Demand'!S8*'Price Schedule'!$G10)*'DRIPE FCM Bid Responsive Share'!$I15*(1+'DRIPE - Blended'!$B$11)*12</f>
        <v>3.1159627269793786</v>
      </c>
      <c r="F9" s="49">
        <f>(-'Gross Demand'!T8*'Price Schedule'!$G10)*'DRIPE FCM Bid Responsive Share'!$I15*(1+'DRIPE - Blended'!$B$11)*12</f>
        <v>80.491005207140546</v>
      </c>
      <c r="G9" s="49">
        <f>(-'Gross Demand'!U8*'Price Schedule'!$G10)*'DRIPE FCM Bid Responsive Share'!$I15*(1+'DRIPE - Blended'!$B$11)*12</f>
        <v>6.6386191986622469</v>
      </c>
      <c r="H9" s="49">
        <f>(-'Gross Demand'!V8*'Price Schedule'!$G10)*'DRIPE FCM Bid Responsive Share'!$I15*(1+'DRIPE - Blended'!$B$11)*12</f>
        <v>165.68534112405746</v>
      </c>
      <c r="I9" s="50">
        <f t="shared" si="2"/>
        <v>0</v>
      </c>
      <c r="J9" s="50">
        <f t="shared" si="3"/>
        <v>308.29568317538428</v>
      </c>
      <c r="K9" s="50">
        <f t="shared" si="4"/>
        <v>301.40755762917865</v>
      </c>
      <c r="L9" s="50">
        <f t="shared" si="5"/>
        <v>332.05599051203751</v>
      </c>
      <c r="M9" s="50">
        <f t="shared" si="6"/>
        <v>254.68094803187634</v>
      </c>
      <c r="N9" s="50">
        <f t="shared" si="7"/>
        <v>328.53333404035465</v>
      </c>
      <c r="O9" s="50">
        <f t="shared" si="8"/>
        <v>169.48661211495943</v>
      </c>
    </row>
    <row r="10" spans="1:15" x14ac:dyDescent="0.3">
      <c r="A10">
        <f t="shared" si="9"/>
        <v>2021</v>
      </c>
      <c r="B10" s="49">
        <f>(-'Gross Demand'!P9*'Price Schedule'!$G11)*'DRIPE FCM Bid Responsive Share'!$I16*(1+'DRIPE - Blended'!$B$11)*12</f>
        <v>55.835073144304616</v>
      </c>
      <c r="C10" s="49">
        <f>(-'Gross Demand'!Q9*'Price Schedule'!$G11)*'DRIPE FCM Bid Responsive Share'!$I16*(1+'DRIPE - Blended'!$B$11)*12</f>
        <v>4.472788600186</v>
      </c>
      <c r="D10" s="49">
        <f>(-'Gross Demand'!R9*'Price Schedule'!$G11)*'DRIPE FCM Bid Responsive Share'!$I16*(1+'DRIPE - Blended'!$B$11)*12</f>
        <v>5.617803099792634</v>
      </c>
      <c r="E10" s="49">
        <f>(-'Gross Demand'!S9*'Price Schedule'!$G11)*'DRIPE FCM Bid Responsive Share'!$I16*(1+'DRIPE - Blended'!$B$11)*12</f>
        <v>0.57848350948409455</v>
      </c>
      <c r="F10" s="49">
        <f>(-'Gross Demand'!T9*'Price Schedule'!$G11)*'DRIPE FCM Bid Responsive Share'!$I16*(1+'DRIPE - Blended'!$B$11)*12</f>
        <v>13.341491843660066</v>
      </c>
      <c r="G10" s="49">
        <f>(-'Gross Demand'!U9*'Price Schedule'!$G11)*'DRIPE FCM Bid Responsive Share'!$I16*(1+'DRIPE - Blended'!$B$11)*12</f>
        <v>1.241411129367032</v>
      </c>
      <c r="H10" s="49">
        <f>(-'Gross Demand'!V9*'Price Schedule'!$G11)*'DRIPE FCM Bid Responsive Share'!$I16*(1+'DRIPE - Blended'!$B$11)*12</f>
        <v>27.624578118796233</v>
      </c>
      <c r="I10" s="50">
        <f t="shared" si="2"/>
        <v>0</v>
      </c>
      <c r="J10" s="50">
        <f t="shared" si="3"/>
        <v>51.362284544118616</v>
      </c>
      <c r="K10" s="50">
        <f t="shared" si="4"/>
        <v>50.217270044511984</v>
      </c>
      <c r="L10" s="50">
        <f t="shared" si="5"/>
        <v>55.256589634820521</v>
      </c>
      <c r="M10" s="50">
        <f t="shared" si="6"/>
        <v>42.49358130064455</v>
      </c>
      <c r="N10" s="50">
        <f t="shared" si="7"/>
        <v>54.593662014937586</v>
      </c>
      <c r="O10" s="50">
        <f t="shared" si="8"/>
        <v>28.210495025508383</v>
      </c>
    </row>
    <row r="11" spans="1:15" x14ac:dyDescent="0.3">
      <c r="A11">
        <f t="shared" si="9"/>
        <v>2022</v>
      </c>
      <c r="B11" s="49">
        <f>(-'Gross Demand'!P10*'Price Schedule'!$G12)*'DRIPE FCM Bid Responsive Share'!$I17*(1+'DRIPE - Blended'!$B$11)*12</f>
        <v>37.327448448226164</v>
      </c>
      <c r="C11" s="49">
        <f>(-'Gross Demand'!Q10*'Price Schedule'!$G12)*'DRIPE FCM Bid Responsive Share'!$I17*(1+'DRIPE - Blended'!$B$11)*12</f>
        <v>2.992124497424919</v>
      </c>
      <c r="D11" s="49">
        <f>(-'Gross Demand'!R10*'Price Schedule'!$G12)*'DRIPE FCM Bid Responsive Share'!$I17*(1+'DRIPE - Blended'!$B$11)*12</f>
        <v>3.7547157265690361</v>
      </c>
      <c r="E11" s="49">
        <f>(-'Gross Demand'!S10*'Price Schedule'!$G12)*'DRIPE FCM Bid Responsive Share'!$I17*(1+'DRIPE - Blended'!$B$11)*12</f>
        <v>0.41367483823094758</v>
      </c>
      <c r="F11" s="49">
        <f>(-'Gross Demand'!T10*'Price Schedule'!$G12)*'DRIPE FCM Bid Responsive Share'!$I17*(1+'DRIPE - Blended'!$B$11)*12</f>
        <v>8.8760422786032347</v>
      </c>
      <c r="G11" s="49">
        <f>(-'Gross Demand'!U10*'Price Schedule'!$G12)*'DRIPE FCM Bid Responsive Share'!$I17*(1+'DRIPE - Blended'!$B$11)*12</f>
        <v>0.89405251656884821</v>
      </c>
      <c r="H11" s="49">
        <f>(-'Gross Demand'!V10*'Price Schedule'!$G12)*'DRIPE FCM Bid Responsive Share'!$I17*(1+'DRIPE - Blended'!$B$11)*12</f>
        <v>18.483002676511472</v>
      </c>
      <c r="I11" s="50">
        <f t="shared" si="2"/>
        <v>0</v>
      </c>
      <c r="J11" s="50">
        <f t="shared" si="3"/>
        <v>34.335323950801246</v>
      </c>
      <c r="K11" s="50">
        <f t="shared" si="4"/>
        <v>33.572732721657125</v>
      </c>
      <c r="L11" s="50">
        <f t="shared" si="5"/>
        <v>36.913773609995218</v>
      </c>
      <c r="M11" s="50">
        <f t="shared" si="6"/>
        <v>28.451406169622928</v>
      </c>
      <c r="N11" s="50">
        <f t="shared" si="7"/>
        <v>36.433395931657316</v>
      </c>
      <c r="O11" s="50">
        <f t="shared" si="8"/>
        <v>18.844445771714692</v>
      </c>
    </row>
    <row r="12" spans="1:15" x14ac:dyDescent="0.3">
      <c r="A12">
        <f t="shared" si="9"/>
        <v>2023</v>
      </c>
      <c r="B12" s="49">
        <f>(-'Gross Demand'!P11*'Price Schedule'!$G13)*'DRIPE FCM Bid Responsive Share'!$I18*(1+'DRIPE - Blended'!$B$11)*12</f>
        <v>19.357969381005713</v>
      </c>
      <c r="C12" s="49">
        <f>(-'Gross Demand'!Q11*'Price Schedule'!$G13)*'DRIPE FCM Bid Responsive Share'!$I18*(1+'DRIPE - Blended'!$B$11)*12</f>
        <v>1.5534142097483086</v>
      </c>
      <c r="D12" s="49">
        <f>(-'Gross Demand'!R11*'Price Schedule'!$G13)*'DRIPE FCM Bid Responsive Share'!$I18*(1+'DRIPE - Blended'!$B$11)*12</f>
        <v>1.9486974481465684</v>
      </c>
      <c r="E12" s="49">
        <f>(-'Gross Demand'!S11*'Price Schedule'!$G13)*'DRIPE FCM Bid Responsive Share'!$I18*(1+'DRIPE - Blended'!$B$11)*12</f>
        <v>0.21416922310206726</v>
      </c>
      <c r="F12" s="49">
        <f>(-'Gross Demand'!T11*'Price Schedule'!$G13)*'DRIPE FCM Bid Responsive Share'!$I18*(1+'DRIPE - Blended'!$B$11)*12</f>
        <v>4.5846152216258922</v>
      </c>
      <c r="G12" s="49">
        <f>(-'Gross Demand'!U11*'Price Schedule'!$G13)*'DRIPE FCM Bid Responsive Share'!$I18*(1+'DRIPE - Blended'!$B$11)*12</f>
        <v>0.46660763941356714</v>
      </c>
      <c r="H12" s="49">
        <f>(-'Gross Demand'!V11*'Price Schedule'!$G13)*'DRIPE FCM Bid Responsive Share'!$I18*(1+'DRIPE - Blended'!$B$11)*12</f>
        <v>9.5998901912864056</v>
      </c>
      <c r="I12" s="50">
        <f t="shared" si="2"/>
        <v>0</v>
      </c>
      <c r="J12" s="50">
        <f t="shared" si="3"/>
        <v>17.804555171257405</v>
      </c>
      <c r="K12" s="50">
        <f t="shared" si="4"/>
        <v>17.409271932859145</v>
      </c>
      <c r="L12" s="50">
        <f t="shared" si="5"/>
        <v>19.143800157903645</v>
      </c>
      <c r="M12" s="50">
        <f t="shared" si="6"/>
        <v>14.773354159379821</v>
      </c>
      <c r="N12" s="50">
        <f t="shared" si="7"/>
        <v>18.891361741592146</v>
      </c>
      <c r="O12" s="50">
        <f t="shared" si="8"/>
        <v>9.7580791897193073</v>
      </c>
    </row>
    <row r="13" spans="1:15" x14ac:dyDescent="0.3">
      <c r="A13">
        <f t="shared" si="9"/>
        <v>2024</v>
      </c>
      <c r="B13" s="49">
        <f>(-'Gross Demand'!P12*'Price Schedule'!$G14)*'DRIPE FCM Bid Responsive Share'!$I19*(1+'DRIPE - Blended'!$B$11)*12</f>
        <v>0</v>
      </c>
      <c r="C13" s="49">
        <f>(-'Gross Demand'!Q12*'Price Schedule'!$G14)*'DRIPE FCM Bid Responsive Share'!$I19*(1+'DRIPE - Blended'!$B$11)*12</f>
        <v>0</v>
      </c>
      <c r="D13" s="49">
        <f>(-'Gross Demand'!R12*'Price Schedule'!$G14)*'DRIPE FCM Bid Responsive Share'!$I19*(1+'DRIPE - Blended'!$B$11)*12</f>
        <v>0</v>
      </c>
      <c r="E13" s="49">
        <f>(-'Gross Demand'!S12*'Price Schedule'!$G14)*'DRIPE FCM Bid Responsive Share'!$I19*(1+'DRIPE - Blended'!$B$11)*12</f>
        <v>0</v>
      </c>
      <c r="F13" s="49">
        <f>(-'Gross Demand'!T12*'Price Schedule'!$G14)*'DRIPE FCM Bid Responsive Share'!$I19*(1+'DRIPE - Blended'!$B$11)*12</f>
        <v>0</v>
      </c>
      <c r="G13" s="49">
        <f>(-'Gross Demand'!U12*'Price Schedule'!$G14)*'DRIPE FCM Bid Responsive Share'!$I19*(1+'DRIPE - Blended'!$B$11)*12</f>
        <v>0</v>
      </c>
      <c r="H13" s="49">
        <f>(-'Gross Demand'!V12*'Price Schedule'!$G14)*'DRIPE FCM Bid Responsive Share'!$I19*(1+'DRIPE - Blended'!$B$11)*12</f>
        <v>0</v>
      </c>
      <c r="I13" s="50">
        <f t="shared" si="2"/>
        <v>0</v>
      </c>
      <c r="J13" s="50">
        <f t="shared" si="3"/>
        <v>0</v>
      </c>
      <c r="K13" s="50">
        <f t="shared" si="4"/>
        <v>0</v>
      </c>
      <c r="L13" s="50">
        <f t="shared" si="5"/>
        <v>0</v>
      </c>
      <c r="M13" s="50">
        <f t="shared" si="6"/>
        <v>0</v>
      </c>
      <c r="N13" s="50">
        <f t="shared" si="7"/>
        <v>0</v>
      </c>
      <c r="O13" s="50">
        <f t="shared" si="8"/>
        <v>0</v>
      </c>
    </row>
    <row r="14" spans="1:15" x14ac:dyDescent="0.3">
      <c r="A14">
        <f t="shared" si="9"/>
        <v>2025</v>
      </c>
      <c r="B14" s="49">
        <f>(-'Gross Demand'!P13*'Price Schedule'!$G15)*'DRIPE FCM Bid Responsive Share'!$I20*(1+'DRIPE - Blended'!$B$11)*12</f>
        <v>0</v>
      </c>
      <c r="C14" s="49">
        <f>(-'Gross Demand'!Q13*'Price Schedule'!$G15)*'DRIPE FCM Bid Responsive Share'!$I20*(1+'DRIPE - Blended'!$B$11)*12</f>
        <v>0</v>
      </c>
      <c r="D14" s="49">
        <f>(-'Gross Demand'!R13*'Price Schedule'!$G15)*'DRIPE FCM Bid Responsive Share'!$I20*(1+'DRIPE - Blended'!$B$11)*12</f>
        <v>0</v>
      </c>
      <c r="E14" s="49">
        <f>(-'Gross Demand'!S13*'Price Schedule'!$G15)*'DRIPE FCM Bid Responsive Share'!$I20*(1+'DRIPE - Blended'!$B$11)*12</f>
        <v>0</v>
      </c>
      <c r="F14" s="49">
        <f>(-'Gross Demand'!T13*'Price Schedule'!$G15)*'DRIPE FCM Bid Responsive Share'!$I20*(1+'DRIPE - Blended'!$B$11)*12</f>
        <v>0</v>
      </c>
      <c r="G14" s="49">
        <f>(-'Gross Demand'!U13*'Price Schedule'!$G15)*'DRIPE FCM Bid Responsive Share'!$I20*(1+'DRIPE - Blended'!$B$11)*12</f>
        <v>0</v>
      </c>
      <c r="H14" s="49">
        <f>(-'Gross Demand'!V13*'Price Schedule'!$G15)*'DRIPE FCM Bid Responsive Share'!$I20*(1+'DRIPE - Blended'!$B$11)*12</f>
        <v>0</v>
      </c>
      <c r="I14" s="50">
        <f t="shared" si="2"/>
        <v>0</v>
      </c>
      <c r="J14" s="50">
        <f t="shared" si="3"/>
        <v>0</v>
      </c>
      <c r="K14" s="50">
        <f t="shared" si="4"/>
        <v>0</v>
      </c>
      <c r="L14" s="50">
        <f t="shared" si="5"/>
        <v>0</v>
      </c>
      <c r="M14" s="50">
        <f t="shared" si="6"/>
        <v>0</v>
      </c>
      <c r="N14" s="50">
        <f t="shared" si="7"/>
        <v>0</v>
      </c>
      <c r="O14" s="50">
        <f t="shared" si="8"/>
        <v>0</v>
      </c>
    </row>
    <row r="15" spans="1:15" x14ac:dyDescent="0.3">
      <c r="A15">
        <f t="shared" si="9"/>
        <v>2026</v>
      </c>
      <c r="B15" s="49">
        <f>(-'Gross Demand'!P14*'Price Schedule'!$G16)*'DRIPE FCM Bid Responsive Share'!$I21*(1+'DRIPE - Blended'!$B$11)*12</f>
        <v>0</v>
      </c>
      <c r="C15" s="49">
        <f>(-'Gross Demand'!Q14*'Price Schedule'!$G16)*'DRIPE FCM Bid Responsive Share'!$I21*(1+'DRIPE - Blended'!$B$11)*12</f>
        <v>0</v>
      </c>
      <c r="D15" s="49">
        <f>(-'Gross Demand'!R14*'Price Schedule'!$G16)*'DRIPE FCM Bid Responsive Share'!$I21*(1+'DRIPE - Blended'!$B$11)*12</f>
        <v>0</v>
      </c>
      <c r="E15" s="49">
        <f>(-'Gross Demand'!S14*'Price Schedule'!$G16)*'DRIPE FCM Bid Responsive Share'!$I21*(1+'DRIPE - Blended'!$B$11)*12</f>
        <v>0</v>
      </c>
      <c r="F15" s="49">
        <f>(-'Gross Demand'!T14*'Price Schedule'!$G16)*'DRIPE FCM Bid Responsive Share'!$I21*(1+'DRIPE - Blended'!$B$11)*12</f>
        <v>0</v>
      </c>
      <c r="G15" s="49">
        <f>(-'Gross Demand'!U14*'Price Schedule'!$G16)*'DRIPE FCM Bid Responsive Share'!$I21*(1+'DRIPE - Blended'!$B$11)*12</f>
        <v>0</v>
      </c>
      <c r="H15" s="49">
        <f>(-'Gross Demand'!V14*'Price Schedule'!$G16)*'DRIPE FCM Bid Responsive Share'!$I21*(1+'DRIPE - Blended'!$B$11)*12</f>
        <v>0</v>
      </c>
      <c r="I15" s="50">
        <f t="shared" si="2"/>
        <v>0</v>
      </c>
      <c r="J15" s="50">
        <f t="shared" si="3"/>
        <v>0</v>
      </c>
      <c r="K15" s="50">
        <f t="shared" si="4"/>
        <v>0</v>
      </c>
      <c r="L15" s="50">
        <f t="shared" si="5"/>
        <v>0</v>
      </c>
      <c r="M15" s="50">
        <f t="shared" si="6"/>
        <v>0</v>
      </c>
      <c r="N15" s="50">
        <f t="shared" si="7"/>
        <v>0</v>
      </c>
      <c r="O15" s="50">
        <f t="shared" si="8"/>
        <v>0</v>
      </c>
    </row>
    <row r="16" spans="1:15" x14ac:dyDescent="0.3">
      <c r="A16">
        <f t="shared" si="9"/>
        <v>2027</v>
      </c>
      <c r="B16" s="49">
        <f>(-'Gross Demand'!P15*'Price Schedule'!$G17)*'DRIPE FCM Bid Responsive Share'!$I22*(1+'DRIPE - Blended'!$B$11)*12</f>
        <v>0</v>
      </c>
      <c r="C16" s="49">
        <f>(-'Gross Demand'!Q15*'Price Schedule'!$G17)*'DRIPE FCM Bid Responsive Share'!$I22*(1+'DRIPE - Blended'!$B$11)*12</f>
        <v>0</v>
      </c>
      <c r="D16" s="49">
        <f>(-'Gross Demand'!R15*'Price Schedule'!$G17)*'DRIPE FCM Bid Responsive Share'!$I22*(1+'DRIPE - Blended'!$B$11)*12</f>
        <v>0</v>
      </c>
      <c r="E16" s="49">
        <f>(-'Gross Demand'!S15*'Price Schedule'!$G17)*'DRIPE FCM Bid Responsive Share'!$I22*(1+'DRIPE - Blended'!$B$11)*12</f>
        <v>0</v>
      </c>
      <c r="F16" s="49">
        <f>(-'Gross Demand'!T15*'Price Schedule'!$G17)*'DRIPE FCM Bid Responsive Share'!$I22*(1+'DRIPE - Blended'!$B$11)*12</f>
        <v>0</v>
      </c>
      <c r="G16" s="49">
        <f>(-'Gross Demand'!U15*'Price Schedule'!$G17)*'DRIPE FCM Bid Responsive Share'!$I22*(1+'DRIPE - Blended'!$B$11)*12</f>
        <v>0</v>
      </c>
      <c r="H16" s="49">
        <f>(-'Gross Demand'!V15*'Price Schedule'!$G17)*'DRIPE FCM Bid Responsive Share'!$I22*(1+'DRIPE - Blended'!$B$11)*12</f>
        <v>0</v>
      </c>
      <c r="I16" s="50">
        <f t="shared" si="2"/>
        <v>0</v>
      </c>
      <c r="J16" s="50">
        <f t="shared" si="3"/>
        <v>0</v>
      </c>
      <c r="K16" s="50">
        <f t="shared" si="4"/>
        <v>0</v>
      </c>
      <c r="L16" s="50">
        <f t="shared" si="5"/>
        <v>0</v>
      </c>
      <c r="M16" s="50">
        <f t="shared" si="6"/>
        <v>0</v>
      </c>
      <c r="N16" s="50">
        <f t="shared" si="7"/>
        <v>0</v>
      </c>
      <c r="O16" s="50">
        <f t="shared" si="8"/>
        <v>0</v>
      </c>
    </row>
    <row r="17" spans="1:15" x14ac:dyDescent="0.3">
      <c r="A17">
        <f t="shared" si="9"/>
        <v>2028</v>
      </c>
      <c r="B17" s="49">
        <f>(-'Gross Demand'!P16*'Price Schedule'!$G18)*'DRIPE FCM Bid Responsive Share'!$I23*(1+'DRIPE - Blended'!$B$11)*12</f>
        <v>0</v>
      </c>
      <c r="C17" s="49">
        <f>(-'Gross Demand'!Q16*'Price Schedule'!$G18)*'DRIPE FCM Bid Responsive Share'!$I23*(1+'DRIPE - Blended'!$B$11)*12</f>
        <v>0</v>
      </c>
      <c r="D17" s="49">
        <f>(-'Gross Demand'!R16*'Price Schedule'!$G18)*'DRIPE FCM Bid Responsive Share'!$I23*(1+'DRIPE - Blended'!$B$11)*12</f>
        <v>0</v>
      </c>
      <c r="E17" s="49">
        <f>(-'Gross Demand'!S16*'Price Schedule'!$G18)*'DRIPE FCM Bid Responsive Share'!$I23*(1+'DRIPE - Blended'!$B$11)*12</f>
        <v>0</v>
      </c>
      <c r="F17" s="49">
        <f>(-'Gross Demand'!T16*'Price Schedule'!$G18)*'DRIPE FCM Bid Responsive Share'!$I23*(1+'DRIPE - Blended'!$B$11)*12</f>
        <v>0</v>
      </c>
      <c r="G17" s="49">
        <f>(-'Gross Demand'!U16*'Price Schedule'!$G18)*'DRIPE FCM Bid Responsive Share'!$I23*(1+'DRIPE - Blended'!$B$11)*12</f>
        <v>0</v>
      </c>
      <c r="H17" s="49">
        <f>(-'Gross Demand'!V16*'Price Schedule'!$G18)*'DRIPE FCM Bid Responsive Share'!$I23*(1+'DRIPE - Blended'!$B$11)*12</f>
        <v>0</v>
      </c>
      <c r="I17" s="50">
        <f t="shared" si="2"/>
        <v>0</v>
      </c>
      <c r="J17" s="50">
        <f t="shared" si="3"/>
        <v>0</v>
      </c>
      <c r="K17" s="50">
        <f t="shared" si="4"/>
        <v>0</v>
      </c>
      <c r="L17" s="50">
        <f t="shared" si="5"/>
        <v>0</v>
      </c>
      <c r="M17" s="50">
        <f t="shared" si="6"/>
        <v>0</v>
      </c>
      <c r="N17" s="50">
        <f t="shared" si="7"/>
        <v>0</v>
      </c>
      <c r="O17" s="50">
        <f t="shared" si="8"/>
        <v>0</v>
      </c>
    </row>
    <row r="18" spans="1:15" x14ac:dyDescent="0.3">
      <c r="A18">
        <f t="shared" si="9"/>
        <v>2029</v>
      </c>
      <c r="B18" s="49">
        <f>(-'Gross Demand'!P17*'Price Schedule'!$G19)*'DRIPE FCM Bid Responsive Share'!$I24*(1+'DRIPE - Blended'!$B$11)*12</f>
        <v>0</v>
      </c>
      <c r="C18" s="49">
        <f>(-'Gross Demand'!Q17*'Price Schedule'!$G19)*'DRIPE FCM Bid Responsive Share'!$I24*(1+'DRIPE - Blended'!$B$11)*12</f>
        <v>0</v>
      </c>
      <c r="D18" s="49">
        <f>(-'Gross Demand'!R17*'Price Schedule'!$G19)*'DRIPE FCM Bid Responsive Share'!$I24*(1+'DRIPE - Blended'!$B$11)*12</f>
        <v>0</v>
      </c>
      <c r="E18" s="49">
        <f>(-'Gross Demand'!S17*'Price Schedule'!$G19)*'DRIPE FCM Bid Responsive Share'!$I24*(1+'DRIPE - Blended'!$B$11)*12</f>
        <v>0</v>
      </c>
      <c r="F18" s="49">
        <f>(-'Gross Demand'!T17*'Price Schedule'!$G19)*'DRIPE FCM Bid Responsive Share'!$I24*(1+'DRIPE - Blended'!$B$11)*12</f>
        <v>0</v>
      </c>
      <c r="G18" s="49">
        <f>(-'Gross Demand'!U17*'Price Schedule'!$G19)*'DRIPE FCM Bid Responsive Share'!$I24*(1+'DRIPE - Blended'!$B$11)*12</f>
        <v>0</v>
      </c>
      <c r="H18" s="49">
        <f>(-'Gross Demand'!V17*'Price Schedule'!$G19)*'DRIPE FCM Bid Responsive Share'!$I24*(1+'DRIPE - Blended'!$B$11)*12</f>
        <v>0</v>
      </c>
      <c r="I18" s="50">
        <f t="shared" si="2"/>
        <v>0</v>
      </c>
      <c r="J18" s="50">
        <f t="shared" si="3"/>
        <v>0</v>
      </c>
      <c r="K18" s="50">
        <f t="shared" si="4"/>
        <v>0</v>
      </c>
      <c r="L18" s="50">
        <f t="shared" si="5"/>
        <v>0</v>
      </c>
      <c r="M18" s="50">
        <f t="shared" si="6"/>
        <v>0</v>
      </c>
      <c r="N18" s="50">
        <f t="shared" si="7"/>
        <v>0</v>
      </c>
      <c r="O18" s="50">
        <f t="shared" si="8"/>
        <v>0</v>
      </c>
    </row>
    <row r="19" spans="1:15" x14ac:dyDescent="0.3">
      <c r="A19">
        <f t="shared" si="9"/>
        <v>2030</v>
      </c>
      <c r="B19" s="49">
        <f>(-'Gross Demand'!P18*'Price Schedule'!$G20)*'DRIPE FCM Bid Responsive Share'!$I25*(1+'DRIPE - Blended'!$B$11)*12</f>
        <v>0</v>
      </c>
      <c r="C19" s="49">
        <f>(-'Gross Demand'!Q18*'Price Schedule'!$G20)*'DRIPE FCM Bid Responsive Share'!$I25*(1+'DRIPE - Blended'!$B$11)*12</f>
        <v>0</v>
      </c>
      <c r="D19" s="49">
        <f>(-'Gross Demand'!R18*'Price Schedule'!$G20)*'DRIPE FCM Bid Responsive Share'!$I25*(1+'DRIPE - Blended'!$B$11)*12</f>
        <v>0</v>
      </c>
      <c r="E19" s="49">
        <f>(-'Gross Demand'!S18*'Price Schedule'!$G20)*'DRIPE FCM Bid Responsive Share'!$I25*(1+'DRIPE - Blended'!$B$11)*12</f>
        <v>0</v>
      </c>
      <c r="F19" s="49">
        <f>(-'Gross Demand'!T18*'Price Schedule'!$G20)*'DRIPE FCM Bid Responsive Share'!$I25*(1+'DRIPE - Blended'!$B$11)*12</f>
        <v>0</v>
      </c>
      <c r="G19" s="49">
        <f>(-'Gross Demand'!U18*'Price Schedule'!$G20)*'DRIPE FCM Bid Responsive Share'!$I25*(1+'DRIPE - Blended'!$B$11)*12</f>
        <v>0</v>
      </c>
      <c r="H19" s="49">
        <f>(-'Gross Demand'!V18*'Price Schedule'!$G20)*'DRIPE FCM Bid Responsive Share'!$I25*(1+'DRIPE - Blended'!$B$11)*12</f>
        <v>0</v>
      </c>
      <c r="I19" s="50">
        <f t="shared" si="2"/>
        <v>0</v>
      </c>
      <c r="J19" s="50">
        <f t="shared" si="3"/>
        <v>0</v>
      </c>
      <c r="K19" s="50">
        <f t="shared" si="4"/>
        <v>0</v>
      </c>
      <c r="L19" s="50">
        <f t="shared" si="5"/>
        <v>0</v>
      </c>
      <c r="M19" s="50">
        <f t="shared" si="6"/>
        <v>0</v>
      </c>
      <c r="N19" s="50">
        <f t="shared" si="7"/>
        <v>0</v>
      </c>
      <c r="O19" s="50">
        <f t="shared" si="8"/>
        <v>0</v>
      </c>
    </row>
    <row r="20" spans="1:15" x14ac:dyDescent="0.3">
      <c r="A20">
        <f t="shared" si="9"/>
        <v>2031</v>
      </c>
      <c r="B20" s="49">
        <f>(-'Gross Demand'!P19*'Price Schedule'!$G21)*'DRIPE FCM Bid Responsive Share'!$I26*(1+'DRIPE - Blended'!$B$11)*12</f>
        <v>0</v>
      </c>
      <c r="C20" s="49">
        <f>(-'Gross Demand'!Q19*'Price Schedule'!$G21)*'DRIPE FCM Bid Responsive Share'!$I26*(1+'DRIPE - Blended'!$B$11)*12</f>
        <v>0</v>
      </c>
      <c r="D20" s="49">
        <f>(-'Gross Demand'!R19*'Price Schedule'!$G21)*'DRIPE FCM Bid Responsive Share'!$I26*(1+'DRIPE - Blended'!$B$11)*12</f>
        <v>0</v>
      </c>
      <c r="E20" s="49">
        <f>(-'Gross Demand'!S19*'Price Schedule'!$G21)*'DRIPE FCM Bid Responsive Share'!$I26*(1+'DRIPE - Blended'!$B$11)*12</f>
        <v>0</v>
      </c>
      <c r="F20" s="49">
        <f>(-'Gross Demand'!T19*'Price Schedule'!$G21)*'DRIPE FCM Bid Responsive Share'!$I26*(1+'DRIPE - Blended'!$B$11)*12</f>
        <v>0</v>
      </c>
      <c r="G20" s="49">
        <f>(-'Gross Demand'!U19*'Price Schedule'!$G21)*'DRIPE FCM Bid Responsive Share'!$I26*(1+'DRIPE - Blended'!$B$11)*12</f>
        <v>0</v>
      </c>
      <c r="H20" s="49">
        <f>(-'Gross Demand'!V19*'Price Schedule'!$G21)*'DRIPE FCM Bid Responsive Share'!$I26*(1+'DRIPE - Blended'!$B$11)*12</f>
        <v>0</v>
      </c>
      <c r="I20" s="50">
        <f t="shared" si="2"/>
        <v>0</v>
      </c>
      <c r="J20" s="50">
        <f t="shared" si="3"/>
        <v>0</v>
      </c>
      <c r="K20" s="50">
        <f t="shared" si="4"/>
        <v>0</v>
      </c>
      <c r="L20" s="50">
        <f t="shared" si="5"/>
        <v>0</v>
      </c>
      <c r="M20" s="50">
        <f t="shared" si="6"/>
        <v>0</v>
      </c>
      <c r="N20" s="50">
        <f t="shared" si="7"/>
        <v>0</v>
      </c>
      <c r="O20" s="50">
        <f t="shared" si="8"/>
        <v>0</v>
      </c>
    </row>
    <row r="21" spans="1:15" x14ac:dyDescent="0.3">
      <c r="A21">
        <f t="shared" si="9"/>
        <v>2032</v>
      </c>
      <c r="B21" s="49">
        <f>(-'Gross Demand'!P20*'Price Schedule'!$G22)*'DRIPE FCM Bid Responsive Share'!$I27*(1+'DRIPE - Blended'!$B$11)*12</f>
        <v>0</v>
      </c>
      <c r="C21" s="49">
        <f>(-'Gross Demand'!Q20*'Price Schedule'!$G22)*'DRIPE FCM Bid Responsive Share'!$I27*(1+'DRIPE - Blended'!$B$11)*12</f>
        <v>0</v>
      </c>
      <c r="D21" s="49">
        <f>(-'Gross Demand'!R20*'Price Schedule'!$G22)*'DRIPE FCM Bid Responsive Share'!$I27*(1+'DRIPE - Blended'!$B$11)*12</f>
        <v>0</v>
      </c>
      <c r="E21" s="49">
        <f>(-'Gross Demand'!S20*'Price Schedule'!$G22)*'DRIPE FCM Bid Responsive Share'!$I27*(1+'DRIPE - Blended'!$B$11)*12</f>
        <v>0</v>
      </c>
      <c r="F21" s="49">
        <f>(-'Gross Demand'!T20*'Price Schedule'!$G22)*'DRIPE FCM Bid Responsive Share'!$I27*(1+'DRIPE - Blended'!$B$11)*12</f>
        <v>0</v>
      </c>
      <c r="G21" s="49">
        <f>(-'Gross Demand'!U20*'Price Schedule'!$G22)*'DRIPE FCM Bid Responsive Share'!$I27*(1+'DRIPE - Blended'!$B$11)*12</f>
        <v>0</v>
      </c>
      <c r="H21" s="49">
        <f>(-'Gross Demand'!V20*'Price Schedule'!$G22)*'DRIPE FCM Bid Responsive Share'!$I27*(1+'DRIPE - Blended'!$B$11)*12</f>
        <v>0</v>
      </c>
      <c r="I21" s="50">
        <f t="shared" si="2"/>
        <v>0</v>
      </c>
      <c r="J21" s="50">
        <f t="shared" si="3"/>
        <v>0</v>
      </c>
      <c r="K21" s="50">
        <f t="shared" si="4"/>
        <v>0</v>
      </c>
      <c r="L21" s="50">
        <f t="shared" si="5"/>
        <v>0</v>
      </c>
      <c r="M21" s="50">
        <f t="shared" si="6"/>
        <v>0</v>
      </c>
      <c r="N21" s="50">
        <f t="shared" si="7"/>
        <v>0</v>
      </c>
      <c r="O21" s="50">
        <f t="shared" si="8"/>
        <v>0</v>
      </c>
    </row>
    <row r="22" spans="1:15" x14ac:dyDescent="0.3">
      <c r="A22">
        <f t="shared" si="9"/>
        <v>2033</v>
      </c>
      <c r="B22" s="49">
        <f>(-'Gross Demand'!P21*'Price Schedule'!$G23)*'DRIPE FCM Bid Responsive Share'!$I28*(1+'DRIPE - Blended'!$B$11)*12</f>
        <v>0</v>
      </c>
      <c r="C22" s="49">
        <f>(-'Gross Demand'!Q21*'Price Schedule'!$G23)*'DRIPE FCM Bid Responsive Share'!$I28*(1+'DRIPE - Blended'!$B$11)*12</f>
        <v>0</v>
      </c>
      <c r="D22" s="49">
        <f>(-'Gross Demand'!R21*'Price Schedule'!$G23)*'DRIPE FCM Bid Responsive Share'!$I28*(1+'DRIPE - Blended'!$B$11)*12</f>
        <v>0</v>
      </c>
      <c r="E22" s="49">
        <f>(-'Gross Demand'!S21*'Price Schedule'!$G23)*'DRIPE FCM Bid Responsive Share'!$I28*(1+'DRIPE - Blended'!$B$11)*12</f>
        <v>0</v>
      </c>
      <c r="F22" s="49">
        <f>(-'Gross Demand'!T21*'Price Schedule'!$G23)*'DRIPE FCM Bid Responsive Share'!$I28*(1+'DRIPE - Blended'!$B$11)*12</f>
        <v>0</v>
      </c>
      <c r="G22" s="49">
        <f>(-'Gross Demand'!U21*'Price Schedule'!$G23)*'DRIPE FCM Bid Responsive Share'!$I28*(1+'DRIPE - Blended'!$B$11)*12</f>
        <v>0</v>
      </c>
      <c r="H22" s="49">
        <f>(-'Gross Demand'!V21*'Price Schedule'!$G23)*'DRIPE FCM Bid Responsive Share'!$I28*(1+'DRIPE - Blended'!$B$11)*12</f>
        <v>0</v>
      </c>
      <c r="I22" s="50">
        <f t="shared" si="2"/>
        <v>0</v>
      </c>
      <c r="J22" s="50">
        <f t="shared" si="3"/>
        <v>0</v>
      </c>
      <c r="K22" s="50">
        <f t="shared" si="4"/>
        <v>0</v>
      </c>
      <c r="L22" s="50">
        <f t="shared" si="5"/>
        <v>0</v>
      </c>
      <c r="M22" s="50">
        <f t="shared" si="6"/>
        <v>0</v>
      </c>
      <c r="N22" s="50">
        <f t="shared" si="7"/>
        <v>0</v>
      </c>
      <c r="O22" s="50">
        <f t="shared" si="8"/>
        <v>0</v>
      </c>
    </row>
    <row r="23" spans="1:15" x14ac:dyDescent="0.3">
      <c r="A23">
        <f t="shared" si="9"/>
        <v>2034</v>
      </c>
      <c r="B23" s="49">
        <f>(-'Gross Demand'!P22*'Price Schedule'!$G24)*'DRIPE FCM Bid Responsive Share'!$I29*(1+'DRIPE - Blended'!$B$11)*12</f>
        <v>0</v>
      </c>
      <c r="C23" s="49">
        <f>(-'Gross Demand'!Q22*'Price Schedule'!$G24)*'DRIPE FCM Bid Responsive Share'!$I29*(1+'DRIPE - Blended'!$B$11)*12</f>
        <v>0</v>
      </c>
      <c r="D23" s="49">
        <f>(-'Gross Demand'!R22*'Price Schedule'!$G24)*'DRIPE FCM Bid Responsive Share'!$I29*(1+'DRIPE - Blended'!$B$11)*12</f>
        <v>0</v>
      </c>
      <c r="E23" s="49">
        <f>(-'Gross Demand'!S22*'Price Schedule'!$G24)*'DRIPE FCM Bid Responsive Share'!$I29*(1+'DRIPE - Blended'!$B$11)*12</f>
        <v>0</v>
      </c>
      <c r="F23" s="49">
        <f>(-'Gross Demand'!T22*'Price Schedule'!$G24)*'DRIPE FCM Bid Responsive Share'!$I29*(1+'DRIPE - Blended'!$B$11)*12</f>
        <v>0</v>
      </c>
      <c r="G23" s="49">
        <f>(-'Gross Demand'!U22*'Price Schedule'!$G24)*'DRIPE FCM Bid Responsive Share'!$I29*(1+'DRIPE - Blended'!$B$11)*12</f>
        <v>0</v>
      </c>
      <c r="H23" s="49">
        <f>(-'Gross Demand'!V22*'Price Schedule'!$G24)*'DRIPE FCM Bid Responsive Share'!$I29*(1+'DRIPE - Blended'!$B$11)*12</f>
        <v>0</v>
      </c>
      <c r="I23" s="50">
        <f t="shared" si="2"/>
        <v>0</v>
      </c>
      <c r="J23" s="50">
        <f t="shared" si="3"/>
        <v>0</v>
      </c>
      <c r="K23" s="50">
        <f t="shared" si="4"/>
        <v>0</v>
      </c>
      <c r="L23" s="50">
        <f t="shared" si="5"/>
        <v>0</v>
      </c>
      <c r="M23" s="50">
        <f t="shared" si="6"/>
        <v>0</v>
      </c>
      <c r="N23" s="50">
        <f t="shared" si="7"/>
        <v>0</v>
      </c>
      <c r="O23" s="50">
        <f t="shared" si="8"/>
        <v>0</v>
      </c>
    </row>
    <row r="24" spans="1:15" x14ac:dyDescent="0.3">
      <c r="A24">
        <f t="shared" si="9"/>
        <v>2035</v>
      </c>
      <c r="B24" s="49">
        <f>(-'Gross Demand'!P23*'Price Schedule'!$G25)*'DRIPE FCM Bid Responsive Share'!$I30*(1+'DRIPE - Blended'!$B$11)*12</f>
        <v>0</v>
      </c>
      <c r="C24" s="49">
        <f>(-'Gross Demand'!Q23*'Price Schedule'!$G25)*'DRIPE FCM Bid Responsive Share'!$I30*(1+'DRIPE - Blended'!$B$11)*12</f>
        <v>0</v>
      </c>
      <c r="D24" s="49">
        <f>(-'Gross Demand'!R23*'Price Schedule'!$G25)*'DRIPE FCM Bid Responsive Share'!$I30*(1+'DRIPE - Blended'!$B$11)*12</f>
        <v>0</v>
      </c>
      <c r="E24" s="49">
        <f>(-'Gross Demand'!S23*'Price Schedule'!$G25)*'DRIPE FCM Bid Responsive Share'!$I30*(1+'DRIPE - Blended'!$B$11)*12</f>
        <v>0</v>
      </c>
      <c r="F24" s="49">
        <f>(-'Gross Demand'!T23*'Price Schedule'!$G25)*'DRIPE FCM Bid Responsive Share'!$I30*(1+'DRIPE - Blended'!$B$11)*12</f>
        <v>0</v>
      </c>
      <c r="G24" s="49">
        <f>(-'Gross Demand'!U23*'Price Schedule'!$G25)*'DRIPE FCM Bid Responsive Share'!$I30*(1+'DRIPE - Blended'!$B$11)*12</f>
        <v>0</v>
      </c>
      <c r="H24" s="49">
        <f>(-'Gross Demand'!V23*'Price Schedule'!$G25)*'DRIPE FCM Bid Responsive Share'!$I30*(1+'DRIPE - Blended'!$B$11)*12</f>
        <v>0</v>
      </c>
      <c r="I24" s="50">
        <f t="shared" si="2"/>
        <v>0</v>
      </c>
      <c r="J24" s="50">
        <f t="shared" si="3"/>
        <v>0</v>
      </c>
      <c r="K24" s="50">
        <f t="shared" si="4"/>
        <v>0</v>
      </c>
      <c r="L24" s="50">
        <f t="shared" si="5"/>
        <v>0</v>
      </c>
      <c r="M24" s="50">
        <f t="shared" si="6"/>
        <v>0</v>
      </c>
      <c r="N24" s="50">
        <f t="shared" si="7"/>
        <v>0</v>
      </c>
      <c r="O24" s="50">
        <f t="shared" si="8"/>
        <v>0</v>
      </c>
    </row>
    <row r="25" spans="1:15" x14ac:dyDescent="0.3">
      <c r="A25" s="41" t="s">
        <v>70</v>
      </c>
      <c r="B25" s="75">
        <f>-PMT(1.34%,COUNT(B7:B16),NPV(1.34%,B7:B16))</f>
        <v>130.62347628453335</v>
      </c>
      <c r="C25" s="75">
        <f t="shared" ref="C25:O25" si="10">-PMT(1.34%,COUNT(C7:C16),NPV(1.34%,C7:C16))</f>
        <v>10.506953116462325</v>
      </c>
      <c r="D25" s="75">
        <f t="shared" si="10"/>
        <v>13.149802164694844</v>
      </c>
      <c r="E25" s="75">
        <f t="shared" si="10"/>
        <v>1.2549138131021802</v>
      </c>
      <c r="F25" s="75">
        <f t="shared" si="10"/>
        <v>31.401700812996086</v>
      </c>
      <c r="G25" s="75">
        <f t="shared" si="10"/>
        <v>2.6537015014164633</v>
      </c>
      <c r="H25" s="75">
        <f t="shared" si="10"/>
        <v>64.444696981339973</v>
      </c>
      <c r="I25" s="76">
        <f t="shared" si="10"/>
        <v>0</v>
      </c>
      <c r="J25" s="76">
        <f t="shared" si="10"/>
        <v>120.11652316807107</v>
      </c>
      <c r="K25" s="76">
        <f t="shared" si="10"/>
        <v>117.47367411983855</v>
      </c>
      <c r="L25" s="76">
        <f t="shared" si="10"/>
        <v>129.3685624714312</v>
      </c>
      <c r="M25" s="76">
        <f t="shared" si="10"/>
        <v>99.221775471537299</v>
      </c>
      <c r="N25" s="76">
        <f t="shared" si="10"/>
        <v>127.96977478311693</v>
      </c>
      <c r="O25" s="76">
        <f t="shared" si="10"/>
        <v>66.178779303193437</v>
      </c>
    </row>
    <row r="26" spans="1:15" x14ac:dyDescent="0.3">
      <c r="A26" s="55" t="s">
        <v>71</v>
      </c>
      <c r="B26" s="77">
        <f>-PMT(1.34%,COUNT(B7:B24),NPV(1.34%,B7:B24))</f>
        <v>76.410771509531443</v>
      </c>
      <c r="C26" s="77">
        <f t="shared" ref="C26:O26" si="11">-PMT(1.34%,COUNT(C7:C24),NPV(1.34%,C7:C24))</f>
        <v>6.1462488725575577</v>
      </c>
      <c r="D26" s="77">
        <f t="shared" si="11"/>
        <v>7.6922354019528765</v>
      </c>
      <c r="E26" s="77">
        <f t="shared" si="11"/>
        <v>0.73408651618054799</v>
      </c>
      <c r="F26" s="77">
        <f t="shared" si="11"/>
        <v>18.369042488242361</v>
      </c>
      <c r="G26" s="77">
        <f t="shared" si="11"/>
        <v>1.5523348853275261</v>
      </c>
      <c r="H26" s="77">
        <f t="shared" si="11"/>
        <v>37.698192975019019</v>
      </c>
      <c r="I26" s="78">
        <f t="shared" si="11"/>
        <v>0</v>
      </c>
      <c r="J26" s="78">
        <f t="shared" si="11"/>
        <v>70.264522636973908</v>
      </c>
      <c r="K26" s="78">
        <f t="shared" si="11"/>
        <v>68.718536107578586</v>
      </c>
      <c r="L26" s="78">
        <f t="shared" si="11"/>
        <v>75.676684993350904</v>
      </c>
      <c r="M26" s="78">
        <f t="shared" si="11"/>
        <v>58.041729021289093</v>
      </c>
      <c r="N26" s="78">
        <f t="shared" si="11"/>
        <v>74.858436624203932</v>
      </c>
      <c r="O26" s="78">
        <f t="shared" si="11"/>
        <v>38.712578534512446</v>
      </c>
    </row>
  </sheetData>
  <mergeCells count="3">
    <mergeCell ref="B5:H5"/>
    <mergeCell ref="I5:O5"/>
    <mergeCell ref="B4:O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0"/>
  <sheetViews>
    <sheetView workbookViewId="0">
      <selection activeCell="A4" sqref="A1:O4"/>
    </sheetView>
  </sheetViews>
  <sheetFormatPr defaultRowHeight="14.4" x14ac:dyDescent="0.3"/>
  <cols>
    <col min="1" max="1" width="18" bestFit="1" customWidth="1"/>
    <col min="6" max="6" width="24.88671875" bestFit="1" customWidth="1"/>
    <col min="9" max="9" width="18.33203125" bestFit="1" customWidth="1"/>
  </cols>
  <sheetData>
    <row r="1" spans="1:9" ht="23.4" x14ac:dyDescent="0.45">
      <c r="A1" s="80" t="s">
        <v>89</v>
      </c>
    </row>
    <row r="2" spans="1:9" x14ac:dyDescent="0.3">
      <c r="A2" s="8" t="s">
        <v>92</v>
      </c>
    </row>
    <row r="4" spans="1:9" ht="20.399999999999999" thickBot="1" x14ac:dyDescent="0.45">
      <c r="A4" s="79" t="s">
        <v>88</v>
      </c>
      <c r="B4" s="79"/>
      <c r="C4" s="79"/>
      <c r="D4" s="79"/>
      <c r="E4" s="79"/>
      <c r="F4" s="79"/>
      <c r="G4" s="79"/>
      <c r="H4" s="79"/>
    </row>
    <row r="5" spans="1:9" ht="15.6" thickTop="1" thickBot="1" x14ac:dyDescent="0.35">
      <c r="A5" s="7" t="s">
        <v>24</v>
      </c>
      <c r="B5" s="51">
        <f>Summary!B7</f>
        <v>2018</v>
      </c>
    </row>
    <row r="6" spans="1:9" ht="15.6" thickTop="1" thickBot="1" x14ac:dyDescent="0.35">
      <c r="A6" s="7" t="s">
        <v>25</v>
      </c>
      <c r="B6" s="51">
        <f>Summary!B8</f>
        <v>100</v>
      </c>
    </row>
    <row r="7" spans="1:9" ht="15.6" thickTop="1" thickBot="1" x14ac:dyDescent="0.35">
      <c r="A7" s="7" t="s">
        <v>26</v>
      </c>
      <c r="B7" s="51">
        <f>Summary!B9</f>
        <v>0.5</v>
      </c>
    </row>
    <row r="8" spans="1:9" ht="15" thickTop="1" x14ac:dyDescent="0.3"/>
    <row r="9" spans="1:9" ht="20.399999999999999" thickBot="1" x14ac:dyDescent="0.45">
      <c r="A9" s="286" t="s">
        <v>69</v>
      </c>
      <c r="B9" s="286"/>
      <c r="C9" s="286"/>
      <c r="D9" s="286"/>
      <c r="E9" s="286"/>
      <c r="F9" s="286"/>
    </row>
    <row r="10" spans="1:9" ht="15" thickTop="1" x14ac:dyDescent="0.3">
      <c r="A10" s="1"/>
      <c r="B10" s="1"/>
      <c r="C10" s="1"/>
      <c r="D10" s="19" t="s">
        <v>0</v>
      </c>
      <c r="E10" s="19"/>
      <c r="F10" s="19"/>
    </row>
    <row r="11" spans="1:9" x14ac:dyDescent="0.3">
      <c r="A11" s="1"/>
      <c r="B11" s="1"/>
      <c r="C11" s="1"/>
      <c r="D11" s="271" t="s">
        <v>48</v>
      </c>
      <c r="E11" s="271"/>
      <c r="F11" s="17" t="s">
        <v>49</v>
      </c>
    </row>
    <row r="12" spans="1:9" x14ac:dyDescent="0.3">
      <c r="A12" s="2" t="s">
        <v>1</v>
      </c>
      <c r="B12" s="3" t="s">
        <v>21</v>
      </c>
      <c r="C12" s="3" t="s">
        <v>22</v>
      </c>
      <c r="D12" s="2" t="s">
        <v>46</v>
      </c>
      <c r="E12" s="2" t="s">
        <v>47</v>
      </c>
      <c r="F12" s="2" t="str">
        <f>E12</f>
        <v>1- Decay</v>
      </c>
      <c r="H12" s="3" t="s">
        <v>1</v>
      </c>
      <c r="I12" s="3" t="s">
        <v>23</v>
      </c>
    </row>
    <row r="13" spans="1:9" x14ac:dyDescent="0.3">
      <c r="A13" s="1" t="s">
        <v>41</v>
      </c>
      <c r="B13" s="1">
        <v>0</v>
      </c>
      <c r="C13" s="1">
        <f t="shared" ref="C13:C30" si="0">$B$5+$B13</f>
        <v>2018</v>
      </c>
      <c r="D13" s="20">
        <v>0</v>
      </c>
      <c r="E13" s="4">
        <f>1-D13</f>
        <v>1</v>
      </c>
      <c r="F13" s="4">
        <f t="shared" ref="F13:F30" si="1">IF($B$6&lt;=$B13,0,E13)</f>
        <v>1</v>
      </c>
      <c r="H13">
        <v>2018</v>
      </c>
      <c r="I13" s="18">
        <f>SUMIFS($F$13:$F$30,$C$13:$C$30,H13)</f>
        <v>1</v>
      </c>
    </row>
    <row r="14" spans="1:9" x14ac:dyDescent="0.3">
      <c r="A14" s="1" t="s">
        <v>42</v>
      </c>
      <c r="B14" s="1">
        <f>B13+1</f>
        <v>1</v>
      </c>
      <c r="C14" s="1">
        <f t="shared" si="0"/>
        <v>2019</v>
      </c>
      <c r="D14" s="20">
        <v>0.17000000000000004</v>
      </c>
      <c r="E14" s="4">
        <f t="shared" ref="E14:E30" si="2">1-D14</f>
        <v>0.83</v>
      </c>
      <c r="F14" s="4">
        <f t="shared" si="1"/>
        <v>0.83</v>
      </c>
      <c r="H14">
        <f>H13+1</f>
        <v>2019</v>
      </c>
      <c r="I14" s="18">
        <f t="shared" ref="I14:I30" si="3">SUMIFS($F$13:$F$30,$C$13:$C$30,H14)</f>
        <v>0.83</v>
      </c>
    </row>
    <row r="15" spans="1:9" x14ac:dyDescent="0.3">
      <c r="A15" s="1" t="s">
        <v>43</v>
      </c>
      <c r="B15" s="1">
        <f t="shared" ref="B15:B24" si="4">B14+1</f>
        <v>2</v>
      </c>
      <c r="C15" s="1">
        <f t="shared" si="0"/>
        <v>2020</v>
      </c>
      <c r="D15" s="20">
        <v>0.32999999999999996</v>
      </c>
      <c r="E15" s="4">
        <f t="shared" si="2"/>
        <v>0.67</v>
      </c>
      <c r="F15" s="4">
        <f t="shared" si="1"/>
        <v>0.67</v>
      </c>
      <c r="H15">
        <f t="shared" ref="H15:H30" si="5">H14+1</f>
        <v>2020</v>
      </c>
      <c r="I15" s="18">
        <f t="shared" si="3"/>
        <v>0.67</v>
      </c>
    </row>
    <row r="16" spans="1:9" x14ac:dyDescent="0.3">
      <c r="A16" s="1" t="s">
        <v>44</v>
      </c>
      <c r="B16" s="1">
        <f t="shared" si="4"/>
        <v>3</v>
      </c>
      <c r="C16" s="1">
        <f t="shared" si="0"/>
        <v>2021</v>
      </c>
      <c r="D16" s="20">
        <v>0.5</v>
      </c>
      <c r="E16" s="4">
        <f t="shared" si="2"/>
        <v>0.5</v>
      </c>
      <c r="F16" s="4">
        <f t="shared" si="1"/>
        <v>0.5</v>
      </c>
      <c r="H16">
        <f t="shared" si="5"/>
        <v>2021</v>
      </c>
      <c r="I16" s="18">
        <f t="shared" si="3"/>
        <v>0.5</v>
      </c>
    </row>
    <row r="17" spans="1:9" x14ac:dyDescent="0.3">
      <c r="A17" s="1" t="s">
        <v>45</v>
      </c>
      <c r="B17" s="1">
        <f t="shared" si="4"/>
        <v>4</v>
      </c>
      <c r="C17" s="1">
        <f t="shared" si="0"/>
        <v>2022</v>
      </c>
      <c r="D17" s="20">
        <v>0.66999999999999993</v>
      </c>
      <c r="E17" s="4">
        <f t="shared" si="2"/>
        <v>0.33000000000000007</v>
      </c>
      <c r="F17" s="4">
        <f t="shared" si="1"/>
        <v>0.33000000000000007</v>
      </c>
      <c r="H17">
        <f t="shared" si="5"/>
        <v>2022</v>
      </c>
      <c r="I17" s="18">
        <f t="shared" si="3"/>
        <v>0.33000000000000007</v>
      </c>
    </row>
    <row r="18" spans="1:9" x14ac:dyDescent="0.3">
      <c r="A18" s="1" t="s">
        <v>7</v>
      </c>
      <c r="B18" s="1">
        <f t="shared" si="4"/>
        <v>5</v>
      </c>
      <c r="C18" s="1">
        <f t="shared" si="0"/>
        <v>2023</v>
      </c>
      <c r="D18" s="20">
        <v>0.83</v>
      </c>
      <c r="E18" s="4">
        <f t="shared" si="2"/>
        <v>0.17000000000000004</v>
      </c>
      <c r="F18" s="4">
        <f t="shared" si="1"/>
        <v>0.17000000000000004</v>
      </c>
      <c r="H18">
        <f t="shared" si="5"/>
        <v>2023</v>
      </c>
      <c r="I18" s="18">
        <f t="shared" si="3"/>
        <v>0.17000000000000004</v>
      </c>
    </row>
    <row r="19" spans="1:9" x14ac:dyDescent="0.3">
      <c r="A19" s="1" t="s">
        <v>8</v>
      </c>
      <c r="B19" s="1">
        <f t="shared" si="4"/>
        <v>6</v>
      </c>
      <c r="C19" s="1">
        <f t="shared" si="0"/>
        <v>2024</v>
      </c>
      <c r="D19" s="20">
        <v>1</v>
      </c>
      <c r="E19" s="4">
        <f t="shared" si="2"/>
        <v>0</v>
      </c>
      <c r="F19" s="4">
        <f t="shared" si="1"/>
        <v>0</v>
      </c>
      <c r="H19">
        <f t="shared" si="5"/>
        <v>2024</v>
      </c>
      <c r="I19" s="18">
        <f t="shared" si="3"/>
        <v>0</v>
      </c>
    </row>
    <row r="20" spans="1:9" x14ac:dyDescent="0.3">
      <c r="A20" s="1" t="s">
        <v>9</v>
      </c>
      <c r="B20" s="1">
        <f t="shared" si="4"/>
        <v>7</v>
      </c>
      <c r="C20" s="1">
        <f t="shared" si="0"/>
        <v>2025</v>
      </c>
      <c r="D20" s="20">
        <v>1</v>
      </c>
      <c r="E20" s="4">
        <f t="shared" si="2"/>
        <v>0</v>
      </c>
      <c r="F20" s="4">
        <f t="shared" si="1"/>
        <v>0</v>
      </c>
      <c r="H20">
        <f t="shared" si="5"/>
        <v>2025</v>
      </c>
      <c r="I20" s="18">
        <f t="shared" si="3"/>
        <v>0</v>
      </c>
    </row>
    <row r="21" spans="1:9" x14ac:dyDescent="0.3">
      <c r="A21" s="1" t="s">
        <v>10</v>
      </c>
      <c r="B21" s="1">
        <f t="shared" si="4"/>
        <v>8</v>
      </c>
      <c r="C21" s="1">
        <f t="shared" si="0"/>
        <v>2026</v>
      </c>
      <c r="D21" s="20">
        <v>1</v>
      </c>
      <c r="E21" s="4">
        <f t="shared" si="2"/>
        <v>0</v>
      </c>
      <c r="F21" s="4">
        <f t="shared" si="1"/>
        <v>0</v>
      </c>
      <c r="H21">
        <f t="shared" si="5"/>
        <v>2026</v>
      </c>
      <c r="I21" s="18">
        <f t="shared" si="3"/>
        <v>0</v>
      </c>
    </row>
    <row r="22" spans="1:9" x14ac:dyDescent="0.3">
      <c r="A22" s="1" t="s">
        <v>11</v>
      </c>
      <c r="B22" s="1">
        <f t="shared" si="4"/>
        <v>9</v>
      </c>
      <c r="C22" s="1">
        <f t="shared" si="0"/>
        <v>2027</v>
      </c>
      <c r="D22" s="20">
        <v>1</v>
      </c>
      <c r="E22" s="4">
        <f t="shared" si="2"/>
        <v>0</v>
      </c>
      <c r="F22" s="4">
        <f t="shared" si="1"/>
        <v>0</v>
      </c>
      <c r="H22">
        <f t="shared" si="5"/>
        <v>2027</v>
      </c>
      <c r="I22" s="18">
        <f t="shared" si="3"/>
        <v>0</v>
      </c>
    </row>
    <row r="23" spans="1:9" x14ac:dyDescent="0.3">
      <c r="A23" s="1" t="s">
        <v>12</v>
      </c>
      <c r="B23" s="1">
        <f t="shared" si="4"/>
        <v>10</v>
      </c>
      <c r="C23" s="1">
        <f t="shared" si="0"/>
        <v>2028</v>
      </c>
      <c r="D23" s="20">
        <v>1</v>
      </c>
      <c r="E23" s="4">
        <f t="shared" si="2"/>
        <v>0</v>
      </c>
      <c r="F23" s="4">
        <f t="shared" si="1"/>
        <v>0</v>
      </c>
      <c r="H23">
        <f t="shared" si="5"/>
        <v>2028</v>
      </c>
      <c r="I23" s="18">
        <f t="shared" si="3"/>
        <v>0</v>
      </c>
    </row>
    <row r="24" spans="1:9" x14ac:dyDescent="0.3">
      <c r="A24" s="1" t="s">
        <v>13</v>
      </c>
      <c r="B24" s="1">
        <f t="shared" si="4"/>
        <v>11</v>
      </c>
      <c r="C24" s="1">
        <f t="shared" si="0"/>
        <v>2029</v>
      </c>
      <c r="D24" s="20">
        <v>1</v>
      </c>
      <c r="E24" s="4">
        <f t="shared" si="2"/>
        <v>0</v>
      </c>
      <c r="F24" s="4">
        <f t="shared" si="1"/>
        <v>0</v>
      </c>
      <c r="H24">
        <f t="shared" si="5"/>
        <v>2029</v>
      </c>
      <c r="I24" s="18">
        <f t="shared" si="3"/>
        <v>0</v>
      </c>
    </row>
    <row r="25" spans="1:9" x14ac:dyDescent="0.3">
      <c r="A25" s="1" t="s">
        <v>14</v>
      </c>
      <c r="B25" s="1">
        <f t="shared" ref="B25:B29" si="6">B24+1</f>
        <v>12</v>
      </c>
      <c r="C25" s="1">
        <f t="shared" si="0"/>
        <v>2030</v>
      </c>
      <c r="D25" s="20">
        <v>1</v>
      </c>
      <c r="E25" s="4">
        <f t="shared" si="2"/>
        <v>0</v>
      </c>
      <c r="F25" s="4">
        <f t="shared" si="1"/>
        <v>0</v>
      </c>
      <c r="H25">
        <f t="shared" si="5"/>
        <v>2030</v>
      </c>
      <c r="I25" s="18">
        <f t="shared" si="3"/>
        <v>0</v>
      </c>
    </row>
    <row r="26" spans="1:9" x14ac:dyDescent="0.3">
      <c r="A26" s="1" t="s">
        <v>15</v>
      </c>
      <c r="B26" s="1">
        <f t="shared" si="6"/>
        <v>13</v>
      </c>
      <c r="C26" s="1">
        <f t="shared" si="0"/>
        <v>2031</v>
      </c>
      <c r="D26" s="20">
        <v>1</v>
      </c>
      <c r="E26" s="4">
        <f t="shared" si="2"/>
        <v>0</v>
      </c>
      <c r="F26" s="4">
        <f t="shared" si="1"/>
        <v>0</v>
      </c>
      <c r="H26">
        <f t="shared" si="5"/>
        <v>2031</v>
      </c>
      <c r="I26" s="18">
        <f t="shared" si="3"/>
        <v>0</v>
      </c>
    </row>
    <row r="27" spans="1:9" x14ac:dyDescent="0.3">
      <c r="A27" s="1" t="s">
        <v>16</v>
      </c>
      <c r="B27" s="1">
        <f t="shared" si="6"/>
        <v>14</v>
      </c>
      <c r="C27" s="1">
        <f t="shared" si="0"/>
        <v>2032</v>
      </c>
      <c r="D27" s="20">
        <v>1</v>
      </c>
      <c r="E27" s="4">
        <f t="shared" si="2"/>
        <v>0</v>
      </c>
      <c r="F27" s="4">
        <f t="shared" si="1"/>
        <v>0</v>
      </c>
      <c r="H27">
        <f t="shared" si="5"/>
        <v>2032</v>
      </c>
      <c r="I27" s="18">
        <f t="shared" si="3"/>
        <v>0</v>
      </c>
    </row>
    <row r="28" spans="1:9" x14ac:dyDescent="0.3">
      <c r="A28" s="1" t="s">
        <v>17</v>
      </c>
      <c r="B28" s="1">
        <f t="shared" si="6"/>
        <v>15</v>
      </c>
      <c r="C28" s="1">
        <f t="shared" si="0"/>
        <v>2033</v>
      </c>
      <c r="D28" s="20">
        <v>1</v>
      </c>
      <c r="E28" s="4">
        <f t="shared" si="2"/>
        <v>0</v>
      </c>
      <c r="F28" s="4">
        <f t="shared" si="1"/>
        <v>0</v>
      </c>
      <c r="H28">
        <f t="shared" si="5"/>
        <v>2033</v>
      </c>
      <c r="I28" s="18">
        <f t="shared" si="3"/>
        <v>0</v>
      </c>
    </row>
    <row r="29" spans="1:9" x14ac:dyDescent="0.3">
      <c r="A29" s="1" t="s">
        <v>18</v>
      </c>
      <c r="B29" s="1">
        <f t="shared" si="6"/>
        <v>16</v>
      </c>
      <c r="C29" s="1">
        <f t="shared" si="0"/>
        <v>2034</v>
      </c>
      <c r="D29" s="20">
        <v>1</v>
      </c>
      <c r="E29" s="4">
        <f t="shared" si="2"/>
        <v>0</v>
      </c>
      <c r="F29" s="4">
        <f t="shared" si="1"/>
        <v>0</v>
      </c>
      <c r="H29">
        <f t="shared" si="5"/>
        <v>2034</v>
      </c>
      <c r="I29" s="18">
        <f t="shared" si="3"/>
        <v>0</v>
      </c>
    </row>
    <row r="30" spans="1:9" x14ac:dyDescent="0.3">
      <c r="A30" s="1" t="s">
        <v>19</v>
      </c>
      <c r="B30" s="1">
        <f t="shared" ref="B30" si="7">B29+1</f>
        <v>17</v>
      </c>
      <c r="C30" s="1">
        <f t="shared" si="0"/>
        <v>2035</v>
      </c>
      <c r="D30" s="20">
        <v>1</v>
      </c>
      <c r="E30" s="4">
        <f t="shared" si="2"/>
        <v>0</v>
      </c>
      <c r="F30" s="4">
        <f t="shared" si="1"/>
        <v>0</v>
      </c>
      <c r="H30">
        <f t="shared" si="5"/>
        <v>2035</v>
      </c>
      <c r="I30" s="18">
        <f t="shared" si="3"/>
        <v>0</v>
      </c>
    </row>
  </sheetData>
  <mergeCells count="2">
    <mergeCell ref="A9:F9"/>
    <mergeCell ref="D11:E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23"/>
  <sheetViews>
    <sheetView workbookViewId="0">
      <selection activeCell="A4" sqref="A1:O4"/>
    </sheetView>
  </sheetViews>
  <sheetFormatPr defaultRowHeight="14.4" x14ac:dyDescent="0.3"/>
  <cols>
    <col min="9" max="9" width="9.88671875" bestFit="1" customWidth="1"/>
    <col min="16" max="16" width="10.88671875" bestFit="1" customWidth="1"/>
    <col min="17" max="18" width="9.88671875" bestFit="1" customWidth="1"/>
    <col min="19" max="19" width="9.109375" bestFit="1" customWidth="1"/>
    <col min="20" max="20" width="9.88671875" bestFit="1" customWidth="1"/>
    <col min="21" max="21" width="9.109375" bestFit="1" customWidth="1"/>
    <col min="22" max="22" width="10.88671875" bestFit="1" customWidth="1"/>
  </cols>
  <sheetData>
    <row r="1" spans="1:22" ht="23.4" x14ac:dyDescent="0.45">
      <c r="A1" s="80" t="s">
        <v>90</v>
      </c>
    </row>
    <row r="2" spans="1:22" x14ac:dyDescent="0.3">
      <c r="A2" s="8" t="s">
        <v>92</v>
      </c>
    </row>
    <row r="4" spans="1:22" x14ac:dyDescent="0.3">
      <c r="B4" s="287" t="s">
        <v>29</v>
      </c>
      <c r="C4" s="287"/>
      <c r="D4" s="287"/>
      <c r="E4" s="287"/>
      <c r="F4" s="287"/>
      <c r="G4" s="287"/>
      <c r="H4" s="287"/>
      <c r="I4" s="288" t="s">
        <v>37</v>
      </c>
      <c r="J4" s="288"/>
      <c r="K4" s="288"/>
      <c r="L4" s="288"/>
      <c r="M4" s="288"/>
      <c r="N4" s="288"/>
      <c r="O4" s="288"/>
      <c r="P4" s="289" t="s">
        <v>38</v>
      </c>
      <c r="Q4" s="289"/>
      <c r="R4" s="289"/>
      <c r="S4" s="289"/>
      <c r="T4" s="289"/>
      <c r="U4" s="289"/>
      <c r="V4" s="289"/>
    </row>
    <row r="5" spans="1:22" x14ac:dyDescent="0.3">
      <c r="A5" t="s">
        <v>1</v>
      </c>
      <c r="B5" s="9" t="s">
        <v>30</v>
      </c>
      <c r="C5" s="9" t="s">
        <v>31</v>
      </c>
      <c r="D5" s="9" t="s">
        <v>32</v>
      </c>
      <c r="E5" s="9" t="s">
        <v>33</v>
      </c>
      <c r="F5" s="9" t="s">
        <v>34</v>
      </c>
      <c r="G5" s="9" t="s">
        <v>35</v>
      </c>
      <c r="H5" s="9" t="s">
        <v>36</v>
      </c>
      <c r="I5" s="11" t="s">
        <v>30</v>
      </c>
      <c r="J5" s="11" t="s">
        <v>31</v>
      </c>
      <c r="K5" s="11" t="s">
        <v>32</v>
      </c>
      <c r="L5" s="11" t="s">
        <v>33</v>
      </c>
      <c r="M5" s="11" t="s">
        <v>34</v>
      </c>
      <c r="N5" s="11" t="s">
        <v>35</v>
      </c>
      <c r="O5" s="11" t="s">
        <v>36</v>
      </c>
      <c r="P5" s="15" t="s">
        <v>30</v>
      </c>
      <c r="Q5" s="15" t="s">
        <v>31</v>
      </c>
      <c r="R5" s="15" t="s">
        <v>32</v>
      </c>
      <c r="S5" s="15" t="s">
        <v>33</v>
      </c>
      <c r="T5" s="15" t="s">
        <v>34</v>
      </c>
      <c r="U5" s="15" t="s">
        <v>35</v>
      </c>
      <c r="V5" s="15" t="s">
        <v>36</v>
      </c>
    </row>
    <row r="6" spans="1:22" x14ac:dyDescent="0.3">
      <c r="A6">
        <v>2018</v>
      </c>
      <c r="B6" s="10">
        <v>26670.520872360641</v>
      </c>
      <c r="C6" s="10">
        <v>1971.7557395393146</v>
      </c>
      <c r="D6" s="10">
        <v>2486.8430362807112</v>
      </c>
      <c r="E6" s="10">
        <v>898.62011052729304</v>
      </c>
      <c r="F6" s="10">
        <v>6995.576299255551</v>
      </c>
      <c r="G6" s="10">
        <v>1884.6199034767169</v>
      </c>
      <c r="H6" s="10">
        <v>12433.105783281053</v>
      </c>
      <c r="I6" s="40">
        <v>0.89510977162012828</v>
      </c>
      <c r="J6" s="12">
        <v>0.97544471641183561</v>
      </c>
      <c r="K6" s="12">
        <v>0.96431313428501542</v>
      </c>
      <c r="L6" s="12">
        <v>0.25932280387810402</v>
      </c>
      <c r="M6" s="12">
        <v>0.82395114812564008</v>
      </c>
      <c r="N6" s="12">
        <v>0.25932280387810402</v>
      </c>
      <c r="O6" s="12">
        <v>0.94494169427659747</v>
      </c>
      <c r="P6" s="16">
        <f>B6*I6</f>
        <v>23873.043847048597</v>
      </c>
      <c r="Q6" s="16">
        <f t="shared" ref="Q6:V20" si="0">C6*J6</f>
        <v>1923.3387181883359</v>
      </c>
      <c r="R6" s="16">
        <f t="shared" si="0"/>
        <v>2398.0954027907169</v>
      </c>
      <c r="S6" s="16">
        <f t="shared" si="0"/>
        <v>233.03268668318938</v>
      </c>
      <c r="T6" s="16">
        <f t="shared" si="0"/>
        <v>5764.0131235721274</v>
      </c>
      <c r="U6" s="16">
        <f t="shared" si="0"/>
        <v>488.724917614064</v>
      </c>
      <c r="V6" s="16">
        <f t="shared" si="0"/>
        <v>11748.560043973761</v>
      </c>
    </row>
    <row r="7" spans="1:22" x14ac:dyDescent="0.3">
      <c r="A7">
        <f>A6+1</f>
        <v>2019</v>
      </c>
      <c r="B7" s="10">
        <v>26877.465209745806</v>
      </c>
      <c r="C7" s="10">
        <v>1988.6637093905774</v>
      </c>
      <c r="D7" s="10">
        <v>2513.3616748320733</v>
      </c>
      <c r="E7" s="10">
        <v>899.70458969744936</v>
      </c>
      <c r="F7" s="10">
        <v>6997.1049252580178</v>
      </c>
      <c r="G7" s="10">
        <v>1899.9456983417167</v>
      </c>
      <c r="H7" s="10">
        <v>12578.684612225969</v>
      </c>
      <c r="I7" s="13">
        <v>0.89551351977428195</v>
      </c>
      <c r="J7" s="12">
        <v>0.97555557748522581</v>
      </c>
      <c r="K7" s="12">
        <v>0.96751447331743223</v>
      </c>
      <c r="L7" s="12">
        <v>0.24728769219420832</v>
      </c>
      <c r="M7" s="12">
        <v>0.82398583340383491</v>
      </c>
      <c r="N7" s="12">
        <v>0.24728769219420832</v>
      </c>
      <c r="O7" s="12">
        <v>0.94509655623581545</v>
      </c>
      <c r="P7" s="16">
        <f t="shared" ref="P7:P20" si="1">B7*I7</f>
        <v>24069.133472590274</v>
      </c>
      <c r="Q7" s="16">
        <f t="shared" si="0"/>
        <v>1940.0519734384361</v>
      </c>
      <c r="R7" s="16">
        <f t="shared" si="0"/>
        <v>2431.7137970813728</v>
      </c>
      <c r="S7" s="16">
        <f t="shared" si="0"/>
        <v>222.48587164281935</v>
      </c>
      <c r="T7" s="16">
        <f t="shared" si="0"/>
        <v>5765.5153332528062</v>
      </c>
      <c r="U7" s="16">
        <f t="shared" si="0"/>
        <v>469.8331870372366</v>
      </c>
      <c r="V7" s="16">
        <f t="shared" si="0"/>
        <v>11888.071508991206</v>
      </c>
    </row>
    <row r="8" spans="1:22" x14ac:dyDescent="0.3">
      <c r="A8">
        <f t="shared" ref="A8:A23" si="2">A7+1</f>
        <v>2020</v>
      </c>
      <c r="B8" s="10">
        <v>27098.221717786433</v>
      </c>
      <c r="C8" s="10">
        <v>2006.7157224749658</v>
      </c>
      <c r="D8" s="10">
        <v>2537.8446064847844</v>
      </c>
      <c r="E8" s="10">
        <v>899.92694468054196</v>
      </c>
      <c r="F8" s="10">
        <v>7009.757648647701</v>
      </c>
      <c r="G8" s="10">
        <v>1917.3118601906949</v>
      </c>
      <c r="H8" s="10">
        <v>12726.66493530775</v>
      </c>
      <c r="I8" s="13">
        <v>0.90104716099635529</v>
      </c>
      <c r="J8" s="12">
        <v>0.97567187769938146</v>
      </c>
      <c r="K8" s="12">
        <v>0.9692026610665061</v>
      </c>
      <c r="L8" s="12">
        <v>0.25223517082988384</v>
      </c>
      <c r="M8" s="12">
        <v>0.8364981640893695</v>
      </c>
      <c r="N8" s="12">
        <v>0.25223517082988384</v>
      </c>
      <c r="O8" s="12">
        <v>0.94839688796631949</v>
      </c>
      <c r="P8" s="16">
        <f t="shared" si="1"/>
        <v>24416.775746861244</v>
      </c>
      <c r="Q8" s="16">
        <f t="shared" si="0"/>
        <v>1957.8960969560208</v>
      </c>
      <c r="R8" s="16">
        <f t="shared" si="0"/>
        <v>2459.6857459783332</v>
      </c>
      <c r="S8" s="16">
        <f t="shared" si="0"/>
        <v>226.99322662591192</v>
      </c>
      <c r="T8" s="16">
        <f t="shared" si="0"/>
        <v>5863.6494038052178</v>
      </c>
      <c r="U8" s="16">
        <f t="shared" si="0"/>
        <v>483.61348458936232</v>
      </c>
      <c r="V8" s="16">
        <f t="shared" si="0"/>
        <v>12069.929418835951</v>
      </c>
    </row>
    <row r="9" spans="1:22" x14ac:dyDescent="0.3">
      <c r="A9">
        <f t="shared" si="2"/>
        <v>2021</v>
      </c>
      <c r="B9" s="10">
        <v>27340.520892768509</v>
      </c>
      <c r="C9" s="10">
        <v>2025.9984336089065</v>
      </c>
      <c r="D9" s="10">
        <v>2561.3353459860641</v>
      </c>
      <c r="E9" s="10">
        <v>901.72698305284462</v>
      </c>
      <c r="F9" s="10">
        <v>7043.5850387366436</v>
      </c>
      <c r="G9" s="10">
        <v>1935.0835314401243</v>
      </c>
      <c r="H9" s="10">
        <v>12872.791559943926</v>
      </c>
      <c r="I9" s="13">
        <v>0.90264940435245877</v>
      </c>
      <c r="J9" s="12">
        <v>0.97579381742497096</v>
      </c>
      <c r="K9" s="12">
        <v>0.96943538049664202</v>
      </c>
      <c r="L9" s="12">
        <v>0.28355330437711879</v>
      </c>
      <c r="M9" s="12">
        <v>0.83720040112097149</v>
      </c>
      <c r="N9" s="12">
        <v>0.28355330437711879</v>
      </c>
      <c r="O9" s="12">
        <v>0.94850955924546398</v>
      </c>
      <c r="P9" s="16">
        <f t="shared" si="1"/>
        <v>24678.904898543449</v>
      </c>
      <c r="Q9" s="16">
        <f t="shared" si="0"/>
        <v>1976.9567456282464</v>
      </c>
      <c r="R9" s="16">
        <f t="shared" si="0"/>
        <v>2483.0491057154982</v>
      </c>
      <c r="S9" s="16">
        <f t="shared" si="0"/>
        <v>255.68766569064428</v>
      </c>
      <c r="T9" s="16">
        <f t="shared" si="0"/>
        <v>5896.8922197599913</v>
      </c>
      <c r="U9" s="16">
        <f t="shared" si="0"/>
        <v>548.6993295855915</v>
      </c>
      <c r="V9" s="16">
        <f t="shared" si="0"/>
        <v>12209.965848781141</v>
      </c>
    </row>
    <row r="10" spans="1:22" x14ac:dyDescent="0.3">
      <c r="A10">
        <f t="shared" si="2"/>
        <v>2022</v>
      </c>
      <c r="B10" s="10">
        <v>27600.746620568629</v>
      </c>
      <c r="C10" s="10">
        <v>2049.4142590800307</v>
      </c>
      <c r="D10" s="10">
        <v>2585.9187926915797</v>
      </c>
      <c r="E10" s="10">
        <v>904.90736760512959</v>
      </c>
      <c r="F10" s="10">
        <v>7080.5737784081002</v>
      </c>
      <c r="G10" s="10">
        <v>1955.7261754880719</v>
      </c>
      <c r="H10" s="10">
        <v>13024.206247295717</v>
      </c>
      <c r="I10" s="13">
        <v>0.90402440792455441</v>
      </c>
      <c r="J10" s="12">
        <v>0.97593880897419538</v>
      </c>
      <c r="K10" s="12">
        <v>0.97058787466761842</v>
      </c>
      <c r="L10" s="12">
        <v>0.30558192589239264</v>
      </c>
      <c r="M10" s="12">
        <v>0.83796058616427016</v>
      </c>
      <c r="N10" s="12">
        <v>0.30558192589239264</v>
      </c>
      <c r="O10" s="12">
        <v>0.94862364074513128</v>
      </c>
      <c r="P10" s="16">
        <f t="shared" si="1"/>
        <v>24951.748621935199</v>
      </c>
      <c r="Q10" s="16">
        <f t="shared" si="0"/>
        <v>2000.1029111012981</v>
      </c>
      <c r="R10" s="16">
        <f t="shared" si="0"/>
        <v>2509.8614250615742</v>
      </c>
      <c r="S10" s="16">
        <f t="shared" si="0"/>
        <v>276.5233361469908</v>
      </c>
      <c r="T10" s="16">
        <f t="shared" si="0"/>
        <v>5933.2417537342126</v>
      </c>
      <c r="U10" s="16">
        <f t="shared" si="0"/>
        <v>597.63457122380851</v>
      </c>
      <c r="V10" s="16">
        <f t="shared" si="0"/>
        <v>12355.069948125147</v>
      </c>
    </row>
    <row r="11" spans="1:22" x14ac:dyDescent="0.3">
      <c r="A11">
        <f t="shared" si="2"/>
        <v>2023</v>
      </c>
      <c r="B11" s="10">
        <v>27866.666930584677</v>
      </c>
      <c r="C11" s="10">
        <v>2072.9082778553125</v>
      </c>
      <c r="D11" s="10">
        <v>2610.6382158230622</v>
      </c>
      <c r="E11" s="10">
        <v>907.34004582669786</v>
      </c>
      <c r="F11" s="10">
        <v>7119.4785387268248</v>
      </c>
      <c r="G11" s="10">
        <v>1976.809696539945</v>
      </c>
      <c r="H11" s="10">
        <v>13179.492155812834</v>
      </c>
      <c r="I11" s="13">
        <v>0.90480176652942945</v>
      </c>
      <c r="J11" s="12">
        <v>0.97608099258815839</v>
      </c>
      <c r="K11" s="12">
        <v>0.97224651113167715</v>
      </c>
      <c r="L11" s="12">
        <v>0.30744373694472615</v>
      </c>
      <c r="M11" s="12">
        <v>0.83875162555100669</v>
      </c>
      <c r="N11" s="12">
        <v>0.30744373694472615</v>
      </c>
      <c r="O11" s="12">
        <v>0.94873791629662796</v>
      </c>
      <c r="P11" s="16">
        <f t="shared" si="1"/>
        <v>25213.809466080249</v>
      </c>
      <c r="Q11" s="16">
        <f t="shared" si="0"/>
        <v>2023.3263693932233</v>
      </c>
      <c r="R11" s="16">
        <f t="shared" si="0"/>
        <v>2538.1838971609986</v>
      </c>
      <c r="S11" s="16">
        <f t="shared" si="0"/>
        <v>278.95601436855907</v>
      </c>
      <c r="T11" s="16">
        <f t="shared" si="0"/>
        <v>5971.4741974326298</v>
      </c>
      <c r="U11" s="16">
        <f t="shared" si="0"/>
        <v>607.75776033281079</v>
      </c>
      <c r="V11" s="16">
        <f t="shared" si="0"/>
        <v>12503.88392575362</v>
      </c>
    </row>
    <row r="12" spans="1:22" x14ac:dyDescent="0.3">
      <c r="A12">
        <f t="shared" si="2"/>
        <v>2024</v>
      </c>
      <c r="B12" s="10">
        <v>28138.163529218618</v>
      </c>
      <c r="C12" s="10">
        <v>2096.4201994510759</v>
      </c>
      <c r="D12" s="10">
        <v>2635.3943165027513</v>
      </c>
      <c r="E12" s="10">
        <v>909.7096958988293</v>
      </c>
      <c r="F12" s="10">
        <v>7158.5282191864262</v>
      </c>
      <c r="G12" s="10">
        <v>1997.8960392104318</v>
      </c>
      <c r="H12" s="10">
        <v>13340.215058969103</v>
      </c>
      <c r="I12" s="13">
        <v>0.90594942396021694</v>
      </c>
      <c r="J12" s="12">
        <v>0.97622009407754118</v>
      </c>
      <c r="K12" s="12">
        <v>0.97548888104692921</v>
      </c>
      <c r="L12" s="12">
        <v>0.30924773662297794</v>
      </c>
      <c r="M12" s="12">
        <v>0.8395369652642255</v>
      </c>
      <c r="N12" s="12">
        <v>0.30924773662297794</v>
      </c>
      <c r="O12" s="12">
        <v>0.9493242196329722</v>
      </c>
      <c r="P12" s="16">
        <f t="shared" si="1"/>
        <v>25491.753040593991</v>
      </c>
      <c r="Q12" s="16">
        <f t="shared" si="0"/>
        <v>2046.5675243341868</v>
      </c>
      <c r="R12" s="16">
        <f t="shared" si="0"/>
        <v>2570.7978529227057</v>
      </c>
      <c r="S12" s="16">
        <f t="shared" si="0"/>
        <v>281.3256644406905</v>
      </c>
      <c r="T12" s="16">
        <f t="shared" si="0"/>
        <v>6009.8490568940924</v>
      </c>
      <c r="U12" s="16">
        <f t="shared" si="0"/>
        <v>617.8448281338384</v>
      </c>
      <c r="V12" s="16">
        <f t="shared" si="0"/>
        <v>12664.189250591868</v>
      </c>
    </row>
    <row r="13" spans="1:22" x14ac:dyDescent="0.3">
      <c r="A13">
        <f t="shared" si="2"/>
        <v>2025</v>
      </c>
      <c r="B13" s="10">
        <v>28412.727830673994</v>
      </c>
      <c r="C13" s="10">
        <v>2118.8874209480941</v>
      </c>
      <c r="D13" s="10">
        <v>2660.0953559604063</v>
      </c>
      <c r="E13" s="10">
        <v>911.7186405247744</v>
      </c>
      <c r="F13" s="10">
        <v>7196.0265647694523</v>
      </c>
      <c r="G13" s="10">
        <v>2018.9079998894044</v>
      </c>
      <c r="H13" s="10">
        <v>13507.091848581864</v>
      </c>
      <c r="I13" s="13">
        <v>0.90838494108211021</v>
      </c>
      <c r="J13" s="12">
        <v>0.97635013056362296</v>
      </c>
      <c r="K13" s="12">
        <v>0.97566613312791062</v>
      </c>
      <c r="L13" s="12">
        <v>0.31076978847723413</v>
      </c>
      <c r="M13" s="12">
        <v>0.84742869350847261</v>
      </c>
      <c r="N13" s="12">
        <v>0.31076978847723413</v>
      </c>
      <c r="O13" s="12">
        <v>0.949435390974534</v>
      </c>
      <c r="P13" s="16">
        <f t="shared" si="1"/>
        <v>25809.694096448828</v>
      </c>
      <c r="Q13" s="16">
        <f t="shared" si="0"/>
        <v>2068.7760100922901</v>
      </c>
      <c r="R13" s="16">
        <f t="shared" si="0"/>
        <v>2595.3649497014026</v>
      </c>
      <c r="S13" s="16">
        <f t="shared" si="0"/>
        <v>283.33460906663561</v>
      </c>
      <c r="T13" s="16">
        <f t="shared" si="0"/>
        <v>6098.1193902348396</v>
      </c>
      <c r="U13" s="16">
        <f t="shared" si="0"/>
        <v>627.41561208062603</v>
      </c>
      <c r="V13" s="16">
        <f t="shared" si="0"/>
        <v>12824.111030187263</v>
      </c>
    </row>
    <row r="14" spans="1:22" x14ac:dyDescent="0.3">
      <c r="A14">
        <f t="shared" si="2"/>
        <v>2026</v>
      </c>
      <c r="B14" s="10">
        <v>28692.979453585798</v>
      </c>
      <c r="C14" s="10">
        <v>2140.4045423367929</v>
      </c>
      <c r="D14" s="10">
        <v>2685.8986636650388</v>
      </c>
      <c r="E14" s="10">
        <v>914.89444224651584</v>
      </c>
      <c r="F14" s="10">
        <v>7235.2221227381342</v>
      </c>
      <c r="G14" s="10">
        <v>2039.9855066126984</v>
      </c>
      <c r="H14" s="10">
        <v>13676.574175986614</v>
      </c>
      <c r="I14" s="13">
        <v>0.90899480864289639</v>
      </c>
      <c r="J14" s="12">
        <v>0.97647210884215074</v>
      </c>
      <c r="K14" s="12">
        <v>0.97584781327651104</v>
      </c>
      <c r="L14" s="12">
        <v>0.31316225955516036</v>
      </c>
      <c r="M14" s="12">
        <v>0.84816160474155611</v>
      </c>
      <c r="N14" s="12">
        <v>0.31316225955516036</v>
      </c>
      <c r="O14" s="12">
        <v>0.94954552127785363</v>
      </c>
      <c r="P14" s="16">
        <f t="shared" si="1"/>
        <v>26081.769367806781</v>
      </c>
      <c r="Q14" s="16">
        <f t="shared" si="0"/>
        <v>2090.0453372309266</v>
      </c>
      <c r="R14" s="16">
        <f t="shared" si="0"/>
        <v>2621.0283376198313</v>
      </c>
      <c r="S14" s="16">
        <f t="shared" si="0"/>
        <v>286.51041078837704</v>
      </c>
      <c r="T14" s="16">
        <f t="shared" si="0"/>
        <v>6136.6376062831841</v>
      </c>
      <c r="U14" s="16">
        <f t="shared" si="0"/>
        <v>638.84647071061113</v>
      </c>
      <c r="V14" s="16">
        <f t="shared" si="0"/>
        <v>12986.529755232441</v>
      </c>
    </row>
    <row r="15" spans="1:22" x14ac:dyDescent="0.3">
      <c r="A15">
        <f t="shared" si="2"/>
        <v>2027</v>
      </c>
      <c r="B15" s="10">
        <v>28692.979453585798</v>
      </c>
      <c r="C15" s="10">
        <v>2140.4045423367929</v>
      </c>
      <c r="D15" s="10">
        <v>2685.8986636650388</v>
      </c>
      <c r="E15" s="10">
        <v>914.89444224651584</v>
      </c>
      <c r="F15" s="10">
        <v>7235.2221227381342</v>
      </c>
      <c r="G15" s="10">
        <v>2039.9855066126984</v>
      </c>
      <c r="H15" s="10">
        <v>13676.574175986614</v>
      </c>
      <c r="I15" s="14">
        <f>I14</f>
        <v>0.90899480864289639</v>
      </c>
      <c r="J15" s="14">
        <f t="shared" ref="J15:O20" si="3">J14</f>
        <v>0.97647210884215074</v>
      </c>
      <c r="K15" s="14">
        <f t="shared" si="3"/>
        <v>0.97584781327651104</v>
      </c>
      <c r="L15" s="14">
        <f t="shared" si="3"/>
        <v>0.31316225955516036</v>
      </c>
      <c r="M15" s="14">
        <f t="shared" si="3"/>
        <v>0.84816160474155611</v>
      </c>
      <c r="N15" s="14">
        <f t="shared" si="3"/>
        <v>0.31316225955516036</v>
      </c>
      <c r="O15" s="14">
        <f t="shared" si="3"/>
        <v>0.94954552127785363</v>
      </c>
      <c r="P15" s="16">
        <f t="shared" si="1"/>
        <v>26081.769367806781</v>
      </c>
      <c r="Q15" s="16">
        <f t="shared" si="0"/>
        <v>2090.0453372309266</v>
      </c>
      <c r="R15" s="16">
        <f t="shared" si="0"/>
        <v>2621.0283376198313</v>
      </c>
      <c r="S15" s="16">
        <f t="shared" si="0"/>
        <v>286.51041078837704</v>
      </c>
      <c r="T15" s="16">
        <f t="shared" si="0"/>
        <v>6136.6376062831841</v>
      </c>
      <c r="U15" s="16">
        <f t="shared" si="0"/>
        <v>638.84647071061113</v>
      </c>
      <c r="V15" s="16">
        <f t="shared" si="0"/>
        <v>12986.529755232441</v>
      </c>
    </row>
    <row r="16" spans="1:22" x14ac:dyDescent="0.3">
      <c r="A16">
        <f t="shared" si="2"/>
        <v>2028</v>
      </c>
      <c r="B16" s="10">
        <v>28692.979453585798</v>
      </c>
      <c r="C16" s="10">
        <v>2140.4045423367929</v>
      </c>
      <c r="D16" s="10">
        <v>2685.8986636650388</v>
      </c>
      <c r="E16" s="10">
        <v>914.89444224651584</v>
      </c>
      <c r="F16" s="10">
        <v>7235.2221227381342</v>
      </c>
      <c r="G16" s="10">
        <v>2039.9855066126984</v>
      </c>
      <c r="H16" s="10">
        <v>13676.574175986614</v>
      </c>
      <c r="I16" s="14">
        <f t="shared" ref="I16:I20" si="4">I15</f>
        <v>0.90899480864289639</v>
      </c>
      <c r="J16" s="14">
        <f t="shared" si="3"/>
        <v>0.97647210884215074</v>
      </c>
      <c r="K16" s="14">
        <f t="shared" si="3"/>
        <v>0.97584781327651104</v>
      </c>
      <c r="L16" s="14">
        <f t="shared" si="3"/>
        <v>0.31316225955516036</v>
      </c>
      <c r="M16" s="14">
        <f t="shared" si="3"/>
        <v>0.84816160474155611</v>
      </c>
      <c r="N16" s="14">
        <f t="shared" si="3"/>
        <v>0.31316225955516036</v>
      </c>
      <c r="O16" s="14">
        <f t="shared" si="3"/>
        <v>0.94954552127785363</v>
      </c>
      <c r="P16" s="16">
        <f t="shared" si="1"/>
        <v>26081.769367806781</v>
      </c>
      <c r="Q16" s="16">
        <f t="shared" si="0"/>
        <v>2090.0453372309266</v>
      </c>
      <c r="R16" s="16">
        <f t="shared" si="0"/>
        <v>2621.0283376198313</v>
      </c>
      <c r="S16" s="16">
        <f t="shared" si="0"/>
        <v>286.51041078837704</v>
      </c>
      <c r="T16" s="16">
        <f t="shared" si="0"/>
        <v>6136.6376062831841</v>
      </c>
      <c r="U16" s="16">
        <f t="shared" si="0"/>
        <v>638.84647071061113</v>
      </c>
      <c r="V16" s="16">
        <f t="shared" si="0"/>
        <v>12986.529755232441</v>
      </c>
    </row>
    <row r="17" spans="1:22" x14ac:dyDescent="0.3">
      <c r="A17">
        <f t="shared" si="2"/>
        <v>2029</v>
      </c>
      <c r="B17" s="10">
        <v>28692.979453585798</v>
      </c>
      <c r="C17" s="10">
        <v>2140.4045423367929</v>
      </c>
      <c r="D17" s="10">
        <v>2685.8986636650388</v>
      </c>
      <c r="E17" s="10">
        <v>914.89444224651584</v>
      </c>
      <c r="F17" s="10">
        <v>7235.2221227381342</v>
      </c>
      <c r="G17" s="10">
        <v>2039.9855066126984</v>
      </c>
      <c r="H17" s="10">
        <v>13676.574175986614</v>
      </c>
      <c r="I17" s="14">
        <f t="shared" si="4"/>
        <v>0.90899480864289639</v>
      </c>
      <c r="J17" s="14">
        <f t="shared" si="3"/>
        <v>0.97647210884215074</v>
      </c>
      <c r="K17" s="14">
        <f t="shared" si="3"/>
        <v>0.97584781327651104</v>
      </c>
      <c r="L17" s="14">
        <f t="shared" si="3"/>
        <v>0.31316225955516036</v>
      </c>
      <c r="M17" s="14">
        <f t="shared" si="3"/>
        <v>0.84816160474155611</v>
      </c>
      <c r="N17" s="14">
        <f t="shared" si="3"/>
        <v>0.31316225955516036</v>
      </c>
      <c r="O17" s="14">
        <f t="shared" si="3"/>
        <v>0.94954552127785363</v>
      </c>
      <c r="P17" s="16">
        <f t="shared" si="1"/>
        <v>26081.769367806781</v>
      </c>
      <c r="Q17" s="16">
        <f t="shared" si="0"/>
        <v>2090.0453372309266</v>
      </c>
      <c r="R17" s="16">
        <f t="shared" si="0"/>
        <v>2621.0283376198313</v>
      </c>
      <c r="S17" s="16">
        <f t="shared" si="0"/>
        <v>286.51041078837704</v>
      </c>
      <c r="T17" s="16">
        <f t="shared" si="0"/>
        <v>6136.6376062831841</v>
      </c>
      <c r="U17" s="16">
        <f t="shared" si="0"/>
        <v>638.84647071061113</v>
      </c>
      <c r="V17" s="16">
        <f t="shared" si="0"/>
        <v>12986.529755232441</v>
      </c>
    </row>
    <row r="18" spans="1:22" x14ac:dyDescent="0.3">
      <c r="A18">
        <f t="shared" si="2"/>
        <v>2030</v>
      </c>
      <c r="B18" s="10">
        <v>28692.979453585798</v>
      </c>
      <c r="C18" s="10">
        <v>2140.4045423367929</v>
      </c>
      <c r="D18" s="10">
        <v>2685.8986636650388</v>
      </c>
      <c r="E18" s="10">
        <v>914.89444224651584</v>
      </c>
      <c r="F18" s="10">
        <v>7235.2221227381342</v>
      </c>
      <c r="G18" s="10">
        <v>2039.9855066126984</v>
      </c>
      <c r="H18" s="10">
        <v>13676.574175986614</v>
      </c>
      <c r="I18" s="14">
        <f t="shared" si="4"/>
        <v>0.90899480864289639</v>
      </c>
      <c r="J18" s="14">
        <f t="shared" si="3"/>
        <v>0.97647210884215074</v>
      </c>
      <c r="K18" s="14">
        <f t="shared" si="3"/>
        <v>0.97584781327651104</v>
      </c>
      <c r="L18" s="14">
        <f t="shared" si="3"/>
        <v>0.31316225955516036</v>
      </c>
      <c r="M18" s="14">
        <f t="shared" si="3"/>
        <v>0.84816160474155611</v>
      </c>
      <c r="N18" s="14">
        <f t="shared" si="3"/>
        <v>0.31316225955516036</v>
      </c>
      <c r="O18" s="14">
        <f t="shared" si="3"/>
        <v>0.94954552127785363</v>
      </c>
      <c r="P18" s="16">
        <f t="shared" si="1"/>
        <v>26081.769367806781</v>
      </c>
      <c r="Q18" s="16">
        <f t="shared" si="0"/>
        <v>2090.0453372309266</v>
      </c>
      <c r="R18" s="16">
        <f t="shared" si="0"/>
        <v>2621.0283376198313</v>
      </c>
      <c r="S18" s="16">
        <f t="shared" si="0"/>
        <v>286.51041078837704</v>
      </c>
      <c r="T18" s="16">
        <f t="shared" si="0"/>
        <v>6136.6376062831841</v>
      </c>
      <c r="U18" s="16">
        <f t="shared" si="0"/>
        <v>638.84647071061113</v>
      </c>
      <c r="V18" s="16">
        <f t="shared" si="0"/>
        <v>12986.529755232441</v>
      </c>
    </row>
    <row r="19" spans="1:22" x14ac:dyDescent="0.3">
      <c r="A19">
        <f t="shared" si="2"/>
        <v>2031</v>
      </c>
      <c r="B19" s="10">
        <v>28692.979453585798</v>
      </c>
      <c r="C19" s="10">
        <v>2140.4045423367929</v>
      </c>
      <c r="D19" s="10">
        <v>2685.8986636650388</v>
      </c>
      <c r="E19" s="10">
        <v>914.89444224651584</v>
      </c>
      <c r="F19" s="10">
        <v>7235.2221227381342</v>
      </c>
      <c r="G19" s="10">
        <v>2039.9855066126984</v>
      </c>
      <c r="H19" s="10">
        <v>13676.574175986614</v>
      </c>
      <c r="I19" s="14">
        <f t="shared" si="4"/>
        <v>0.90899480864289639</v>
      </c>
      <c r="J19" s="14">
        <f t="shared" si="3"/>
        <v>0.97647210884215074</v>
      </c>
      <c r="K19" s="14">
        <f t="shared" si="3"/>
        <v>0.97584781327651104</v>
      </c>
      <c r="L19" s="14">
        <f t="shared" si="3"/>
        <v>0.31316225955516036</v>
      </c>
      <c r="M19" s="14">
        <f t="shared" si="3"/>
        <v>0.84816160474155611</v>
      </c>
      <c r="N19" s="14">
        <f t="shared" si="3"/>
        <v>0.31316225955516036</v>
      </c>
      <c r="O19" s="14">
        <f t="shared" si="3"/>
        <v>0.94954552127785363</v>
      </c>
      <c r="P19" s="16">
        <f t="shared" si="1"/>
        <v>26081.769367806781</v>
      </c>
      <c r="Q19" s="16">
        <f t="shared" si="0"/>
        <v>2090.0453372309266</v>
      </c>
      <c r="R19" s="16">
        <f t="shared" si="0"/>
        <v>2621.0283376198313</v>
      </c>
      <c r="S19" s="16">
        <f t="shared" si="0"/>
        <v>286.51041078837704</v>
      </c>
      <c r="T19" s="16">
        <f t="shared" si="0"/>
        <v>6136.6376062831841</v>
      </c>
      <c r="U19" s="16">
        <f t="shared" si="0"/>
        <v>638.84647071061113</v>
      </c>
      <c r="V19" s="16">
        <f t="shared" si="0"/>
        <v>12986.529755232441</v>
      </c>
    </row>
    <row r="20" spans="1:22" x14ac:dyDescent="0.3">
      <c r="A20">
        <f t="shared" si="2"/>
        <v>2032</v>
      </c>
      <c r="B20" s="10">
        <v>28692.979453585798</v>
      </c>
      <c r="C20" s="10">
        <v>2140.4045423367929</v>
      </c>
      <c r="D20" s="10">
        <v>2685.8986636650388</v>
      </c>
      <c r="E20" s="10">
        <v>914.89444224651584</v>
      </c>
      <c r="F20" s="10">
        <v>7235.2221227381342</v>
      </c>
      <c r="G20" s="10">
        <v>2039.9855066126984</v>
      </c>
      <c r="H20" s="10">
        <v>13676.574175986614</v>
      </c>
      <c r="I20" s="14">
        <f t="shared" si="4"/>
        <v>0.90899480864289639</v>
      </c>
      <c r="J20" s="14">
        <f t="shared" si="3"/>
        <v>0.97647210884215074</v>
      </c>
      <c r="K20" s="14">
        <f t="shared" si="3"/>
        <v>0.97584781327651104</v>
      </c>
      <c r="L20" s="14">
        <f t="shared" si="3"/>
        <v>0.31316225955516036</v>
      </c>
      <c r="M20" s="14">
        <f t="shared" si="3"/>
        <v>0.84816160474155611</v>
      </c>
      <c r="N20" s="14">
        <f t="shared" si="3"/>
        <v>0.31316225955516036</v>
      </c>
      <c r="O20" s="14">
        <f t="shared" si="3"/>
        <v>0.94954552127785363</v>
      </c>
      <c r="P20" s="16">
        <f t="shared" si="1"/>
        <v>26081.769367806781</v>
      </c>
      <c r="Q20" s="16">
        <f t="shared" si="0"/>
        <v>2090.0453372309266</v>
      </c>
      <c r="R20" s="16">
        <f t="shared" si="0"/>
        <v>2621.0283376198313</v>
      </c>
      <c r="S20" s="16">
        <f t="shared" si="0"/>
        <v>286.51041078837704</v>
      </c>
      <c r="T20" s="16">
        <f t="shared" si="0"/>
        <v>6136.6376062831841</v>
      </c>
      <c r="U20" s="16">
        <f t="shared" si="0"/>
        <v>638.84647071061113</v>
      </c>
      <c r="V20" s="16">
        <f t="shared" si="0"/>
        <v>12986.529755232441</v>
      </c>
    </row>
    <row r="21" spans="1:22" x14ac:dyDescent="0.3">
      <c r="A21">
        <f t="shared" si="2"/>
        <v>2033</v>
      </c>
      <c r="B21" s="10">
        <v>28692.979453585798</v>
      </c>
      <c r="C21" s="10">
        <v>2140.4045423367929</v>
      </c>
      <c r="D21" s="10">
        <v>2685.8986636650388</v>
      </c>
      <c r="E21" s="10">
        <v>914.89444224651584</v>
      </c>
      <c r="F21" s="10">
        <v>7235.2221227381342</v>
      </c>
      <c r="G21" s="10">
        <v>2039.9855066126984</v>
      </c>
      <c r="H21" s="10">
        <v>13676.574175986614</v>
      </c>
      <c r="I21" s="14">
        <f t="shared" ref="I21:I23" si="5">I20</f>
        <v>0.90899480864289639</v>
      </c>
      <c r="J21" s="14">
        <f t="shared" ref="J21:J23" si="6">J20</f>
        <v>0.97647210884215074</v>
      </c>
      <c r="K21" s="14">
        <f t="shared" ref="K21:K23" si="7">K20</f>
        <v>0.97584781327651104</v>
      </c>
      <c r="L21" s="14">
        <f t="shared" ref="L21:L23" si="8">L20</f>
        <v>0.31316225955516036</v>
      </c>
      <c r="M21" s="14">
        <f t="shared" ref="M21:M23" si="9">M20</f>
        <v>0.84816160474155611</v>
      </c>
      <c r="N21" s="14">
        <f t="shared" ref="N21:N23" si="10">N20</f>
        <v>0.31316225955516036</v>
      </c>
      <c r="O21" s="14">
        <f t="shared" ref="O21:O23" si="11">O20</f>
        <v>0.94954552127785363</v>
      </c>
      <c r="P21" s="16">
        <f t="shared" ref="P21:P23" si="12">B21*I21</f>
        <v>26081.769367806781</v>
      </c>
      <c r="Q21" s="16">
        <f t="shared" ref="Q21:Q23" si="13">C21*J21</f>
        <v>2090.0453372309266</v>
      </c>
      <c r="R21" s="16">
        <f t="shared" ref="R21:R23" si="14">D21*K21</f>
        <v>2621.0283376198313</v>
      </c>
      <c r="S21" s="16">
        <f t="shared" ref="S21:S23" si="15">E21*L21</f>
        <v>286.51041078837704</v>
      </c>
      <c r="T21" s="16">
        <f t="shared" ref="T21:T23" si="16">F21*M21</f>
        <v>6136.6376062831841</v>
      </c>
      <c r="U21" s="16">
        <f t="shared" ref="U21:U23" si="17">G21*N21</f>
        <v>638.84647071061113</v>
      </c>
      <c r="V21" s="16">
        <f t="shared" ref="V21:V23" si="18">H21*O21</f>
        <v>12986.529755232441</v>
      </c>
    </row>
    <row r="22" spans="1:22" x14ac:dyDescent="0.3">
      <c r="A22">
        <f t="shared" si="2"/>
        <v>2034</v>
      </c>
      <c r="B22" s="10">
        <v>28692.979453585798</v>
      </c>
      <c r="C22" s="10">
        <v>2140.4045423367929</v>
      </c>
      <c r="D22" s="10">
        <v>2685.8986636650388</v>
      </c>
      <c r="E22" s="10">
        <v>914.89444224651584</v>
      </c>
      <c r="F22" s="10">
        <v>7235.2221227381342</v>
      </c>
      <c r="G22" s="10">
        <v>2039.9855066126984</v>
      </c>
      <c r="H22" s="10">
        <v>13676.574175986614</v>
      </c>
      <c r="I22" s="14">
        <f t="shared" si="5"/>
        <v>0.90899480864289639</v>
      </c>
      <c r="J22" s="14">
        <f t="shared" si="6"/>
        <v>0.97647210884215074</v>
      </c>
      <c r="K22" s="14">
        <f t="shared" si="7"/>
        <v>0.97584781327651104</v>
      </c>
      <c r="L22" s="14">
        <f t="shared" si="8"/>
        <v>0.31316225955516036</v>
      </c>
      <c r="M22" s="14">
        <f t="shared" si="9"/>
        <v>0.84816160474155611</v>
      </c>
      <c r="N22" s="14">
        <f t="shared" si="10"/>
        <v>0.31316225955516036</v>
      </c>
      <c r="O22" s="14">
        <f t="shared" si="11"/>
        <v>0.94954552127785363</v>
      </c>
      <c r="P22" s="16">
        <f t="shared" si="12"/>
        <v>26081.769367806781</v>
      </c>
      <c r="Q22" s="16">
        <f t="shared" si="13"/>
        <v>2090.0453372309266</v>
      </c>
      <c r="R22" s="16">
        <f t="shared" si="14"/>
        <v>2621.0283376198313</v>
      </c>
      <c r="S22" s="16">
        <f t="shared" si="15"/>
        <v>286.51041078837704</v>
      </c>
      <c r="T22" s="16">
        <f t="shared" si="16"/>
        <v>6136.6376062831841</v>
      </c>
      <c r="U22" s="16">
        <f t="shared" si="17"/>
        <v>638.84647071061113</v>
      </c>
      <c r="V22" s="16">
        <f t="shared" si="18"/>
        <v>12986.529755232441</v>
      </c>
    </row>
    <row r="23" spans="1:22" x14ac:dyDescent="0.3">
      <c r="A23">
        <f t="shared" si="2"/>
        <v>2035</v>
      </c>
      <c r="B23" s="10">
        <v>28692.979453585798</v>
      </c>
      <c r="C23" s="10">
        <v>2140.4045423367929</v>
      </c>
      <c r="D23" s="10">
        <v>2685.8986636650388</v>
      </c>
      <c r="E23" s="10">
        <v>914.89444224651584</v>
      </c>
      <c r="F23" s="10">
        <v>7235.2221227381342</v>
      </c>
      <c r="G23" s="10">
        <v>2039.9855066126984</v>
      </c>
      <c r="H23" s="10">
        <v>13676.574175986614</v>
      </c>
      <c r="I23" s="14">
        <f t="shared" si="5"/>
        <v>0.90899480864289639</v>
      </c>
      <c r="J23" s="14">
        <f t="shared" si="6"/>
        <v>0.97647210884215074</v>
      </c>
      <c r="K23" s="14">
        <f t="shared" si="7"/>
        <v>0.97584781327651104</v>
      </c>
      <c r="L23" s="14">
        <f t="shared" si="8"/>
        <v>0.31316225955516036</v>
      </c>
      <c r="M23" s="14">
        <f t="shared" si="9"/>
        <v>0.84816160474155611</v>
      </c>
      <c r="N23" s="14">
        <f t="shared" si="10"/>
        <v>0.31316225955516036</v>
      </c>
      <c r="O23" s="14">
        <f t="shared" si="11"/>
        <v>0.94954552127785363</v>
      </c>
      <c r="P23" s="16">
        <f t="shared" si="12"/>
        <v>26081.769367806781</v>
      </c>
      <c r="Q23" s="16">
        <f t="shared" si="13"/>
        <v>2090.0453372309266</v>
      </c>
      <c r="R23" s="16">
        <f t="shared" si="14"/>
        <v>2621.0283376198313</v>
      </c>
      <c r="S23" s="16">
        <f t="shared" si="15"/>
        <v>286.51041078837704</v>
      </c>
      <c r="T23" s="16">
        <f t="shared" si="16"/>
        <v>6136.6376062831841</v>
      </c>
      <c r="U23" s="16">
        <f t="shared" si="17"/>
        <v>638.84647071061113</v>
      </c>
      <c r="V23" s="16">
        <f t="shared" si="18"/>
        <v>12986.529755232441</v>
      </c>
    </row>
  </sheetData>
  <mergeCells count="3">
    <mergeCell ref="B4:H4"/>
    <mergeCell ref="I4:O4"/>
    <mergeCell ref="P4:V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H21" sqref="H21"/>
    </sheetView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G44"/>
  <sheetViews>
    <sheetView topLeftCell="A4" workbookViewId="0">
      <selection activeCell="P23" sqref="P23"/>
    </sheetView>
  </sheetViews>
  <sheetFormatPr defaultRowHeight="14.4" x14ac:dyDescent="0.3"/>
  <cols>
    <col min="1" max="1" width="2.33203125" customWidth="1"/>
    <col min="3" max="3" width="2.44140625" customWidth="1"/>
    <col min="4" max="4" width="13.5546875" customWidth="1"/>
    <col min="5" max="5" width="2.44140625" customWidth="1"/>
    <col min="6" max="6" width="17.5546875" customWidth="1"/>
    <col min="7" max="7" width="17.44140625" customWidth="1"/>
  </cols>
  <sheetData>
    <row r="1" spans="1:7" ht="23.4" x14ac:dyDescent="0.45">
      <c r="A1" s="80" t="s">
        <v>198</v>
      </c>
    </row>
    <row r="2" spans="1:7" x14ac:dyDescent="0.3">
      <c r="A2" s="8" t="s">
        <v>199</v>
      </c>
    </row>
    <row r="6" spans="1:7" ht="15" thickBot="1" x14ac:dyDescent="0.35"/>
    <row r="7" spans="1:7" x14ac:dyDescent="0.3">
      <c r="D7" s="266" t="s">
        <v>52</v>
      </c>
      <c r="F7" s="262" t="s">
        <v>160</v>
      </c>
      <c r="G7" s="263"/>
    </row>
    <row r="8" spans="1:7" x14ac:dyDescent="0.3">
      <c r="D8" s="267"/>
      <c r="F8" s="264"/>
      <c r="G8" s="265"/>
    </row>
    <row r="9" spans="1:7" x14ac:dyDescent="0.3">
      <c r="D9" s="267"/>
      <c r="F9" s="264"/>
      <c r="G9" s="265"/>
    </row>
    <row r="10" spans="1:7" ht="40.200000000000003" thickBot="1" x14ac:dyDescent="0.35">
      <c r="D10" s="141" t="s">
        <v>165</v>
      </c>
      <c r="F10" s="142" t="s">
        <v>166</v>
      </c>
      <c r="G10" s="149" t="s">
        <v>164</v>
      </c>
    </row>
    <row r="11" spans="1:7" x14ac:dyDescent="0.3">
      <c r="B11" s="143" t="s">
        <v>162</v>
      </c>
      <c r="D11" s="153" t="s">
        <v>163</v>
      </c>
      <c r="F11" s="144" t="s">
        <v>161</v>
      </c>
      <c r="G11" s="150" t="s">
        <v>161</v>
      </c>
    </row>
    <row r="12" spans="1:7" x14ac:dyDescent="0.3">
      <c r="B12" s="145">
        <v>2018</v>
      </c>
      <c r="D12" s="223">
        <v>0.16799999999999993</v>
      </c>
      <c r="F12" s="146">
        <v>104.4975</v>
      </c>
      <c r="G12" s="151">
        <f>F12*(1+D12)</f>
        <v>122.05307999999999</v>
      </c>
    </row>
    <row r="13" spans="1:7" x14ac:dyDescent="0.3">
      <c r="B13" s="145">
        <v>2019</v>
      </c>
      <c r="D13" s="224">
        <v>0.19799999999999995</v>
      </c>
      <c r="F13" s="146">
        <v>100.00999999999999</v>
      </c>
      <c r="G13" s="151">
        <f t="shared" ref="G13:G44" si="0">F13*(1+D13)</f>
        <v>119.81197999999999</v>
      </c>
    </row>
    <row r="14" spans="1:7" x14ac:dyDescent="0.3">
      <c r="B14" s="145">
        <v>2020</v>
      </c>
      <c r="D14" s="224">
        <v>0.22100000000000009</v>
      </c>
      <c r="F14" s="146">
        <v>73.849999999999994</v>
      </c>
      <c r="G14" s="151">
        <f t="shared" si="0"/>
        <v>90.170850000000002</v>
      </c>
    </row>
    <row r="15" spans="1:7" x14ac:dyDescent="0.3">
      <c r="B15" s="145">
        <v>2021</v>
      </c>
      <c r="D15" s="224">
        <v>0.18100000000000005</v>
      </c>
      <c r="F15" s="146">
        <v>59.93</v>
      </c>
      <c r="G15" s="151">
        <f t="shared" si="0"/>
        <v>70.777330000000006</v>
      </c>
    </row>
    <row r="16" spans="1:7" x14ac:dyDescent="0.3">
      <c r="B16" s="145">
        <v>2022</v>
      </c>
      <c r="D16" s="224">
        <v>0.17999999999999994</v>
      </c>
      <c r="F16" s="146">
        <v>57.58</v>
      </c>
      <c r="G16" s="151">
        <f t="shared" si="0"/>
        <v>67.944399999999987</v>
      </c>
    </row>
    <row r="17" spans="2:7" x14ac:dyDescent="0.3">
      <c r="B17" s="145">
        <v>2023</v>
      </c>
      <c r="D17" s="224">
        <v>0.17900000000000005</v>
      </c>
      <c r="F17" s="146">
        <v>58.78</v>
      </c>
      <c r="G17" s="151">
        <f t="shared" si="0"/>
        <v>69.30162</v>
      </c>
    </row>
    <row r="18" spans="2:7" x14ac:dyDescent="0.3">
      <c r="B18" s="145">
        <v>2024</v>
      </c>
      <c r="D18" s="224">
        <v>0.17700000000000005</v>
      </c>
      <c r="F18" s="146">
        <v>61.24</v>
      </c>
      <c r="G18" s="151">
        <f t="shared" si="0"/>
        <v>72.079480000000004</v>
      </c>
    </row>
    <row r="19" spans="2:7" x14ac:dyDescent="0.3">
      <c r="B19" s="145">
        <v>2025</v>
      </c>
      <c r="D19" s="224">
        <v>0.17300000000000004</v>
      </c>
      <c r="F19" s="146">
        <v>65.650000000000006</v>
      </c>
      <c r="G19" s="151">
        <f t="shared" si="0"/>
        <v>77.007450000000006</v>
      </c>
    </row>
    <row r="20" spans="2:7" x14ac:dyDescent="0.3">
      <c r="B20" s="145">
        <v>2026</v>
      </c>
      <c r="D20" s="224">
        <v>0.16900000000000004</v>
      </c>
      <c r="F20" s="146">
        <v>71.16</v>
      </c>
      <c r="G20" s="151">
        <f t="shared" si="0"/>
        <v>83.186040000000006</v>
      </c>
    </row>
    <row r="21" spans="2:7" x14ac:dyDescent="0.3">
      <c r="B21" s="145">
        <v>2027</v>
      </c>
      <c r="D21" s="224">
        <v>0.16500000000000004</v>
      </c>
      <c r="F21" s="146">
        <v>76.849999999999994</v>
      </c>
      <c r="G21" s="151">
        <f t="shared" si="0"/>
        <v>89.530249999999995</v>
      </c>
    </row>
    <row r="22" spans="2:7" x14ac:dyDescent="0.3">
      <c r="B22" s="145">
        <v>2028</v>
      </c>
      <c r="D22" s="224">
        <v>0.14900000000000002</v>
      </c>
      <c r="F22" s="146">
        <v>82.490000000000009</v>
      </c>
      <c r="G22" s="151">
        <f t="shared" si="0"/>
        <v>94.781010000000009</v>
      </c>
    </row>
    <row r="23" spans="2:7" x14ac:dyDescent="0.3">
      <c r="B23" s="145">
        <v>2029</v>
      </c>
      <c r="D23" s="224">
        <v>0.14599999999999991</v>
      </c>
      <c r="F23" s="146">
        <v>88.13</v>
      </c>
      <c r="G23" s="151">
        <f t="shared" si="0"/>
        <v>100.99697999999999</v>
      </c>
    </row>
    <row r="24" spans="2:7" x14ac:dyDescent="0.3">
      <c r="B24" s="145">
        <v>2030</v>
      </c>
      <c r="D24" s="224">
        <v>0.16500000000000004</v>
      </c>
      <c r="F24" s="146">
        <v>83.9</v>
      </c>
      <c r="G24" s="151">
        <f t="shared" si="0"/>
        <v>97.743500000000012</v>
      </c>
    </row>
    <row r="25" spans="2:7" x14ac:dyDescent="0.3">
      <c r="B25" s="145">
        <v>2031</v>
      </c>
      <c r="D25" s="224">
        <v>0.14900000000000002</v>
      </c>
      <c r="F25" s="146">
        <v>82.490000000000009</v>
      </c>
      <c r="G25" s="151">
        <f t="shared" si="0"/>
        <v>94.781010000000009</v>
      </c>
    </row>
    <row r="26" spans="2:7" x14ac:dyDescent="0.3">
      <c r="B26" s="145">
        <v>2032</v>
      </c>
      <c r="D26" s="224">
        <v>0.14599999999999991</v>
      </c>
      <c r="F26" s="146">
        <v>88.13</v>
      </c>
      <c r="G26" s="151">
        <f t="shared" si="0"/>
        <v>100.99697999999999</v>
      </c>
    </row>
    <row r="27" spans="2:7" x14ac:dyDescent="0.3">
      <c r="B27" s="145">
        <v>2033</v>
      </c>
      <c r="D27" s="224">
        <v>0.16500000000000004</v>
      </c>
      <c r="F27" s="146">
        <v>83.9</v>
      </c>
      <c r="G27" s="151">
        <f t="shared" si="0"/>
        <v>97.743500000000012</v>
      </c>
    </row>
    <row r="28" spans="2:7" x14ac:dyDescent="0.3">
      <c r="B28" s="145">
        <v>2034</v>
      </c>
      <c r="D28" s="224">
        <v>0.14900000000000002</v>
      </c>
      <c r="F28" s="146">
        <v>82.490000000000009</v>
      </c>
      <c r="G28" s="151">
        <f t="shared" si="0"/>
        <v>94.781010000000009</v>
      </c>
    </row>
    <row r="29" spans="2:7" x14ac:dyDescent="0.3">
      <c r="B29" s="145">
        <v>2035</v>
      </c>
      <c r="D29" s="224">
        <v>0.14599999999999991</v>
      </c>
      <c r="F29" s="146">
        <v>88.13</v>
      </c>
      <c r="G29" s="151">
        <f t="shared" si="0"/>
        <v>100.99697999999999</v>
      </c>
    </row>
    <row r="30" spans="2:7" x14ac:dyDescent="0.3">
      <c r="B30" s="145">
        <v>2036</v>
      </c>
      <c r="D30" s="225">
        <v>0.14525948584893217</v>
      </c>
      <c r="F30" s="146">
        <v>89.599252554578939</v>
      </c>
      <c r="G30" s="151">
        <f t="shared" si="0"/>
        <v>102.6143939131057</v>
      </c>
    </row>
    <row r="31" spans="2:7" x14ac:dyDescent="0.3">
      <c r="B31" s="145">
        <v>2037</v>
      </c>
      <c r="D31" s="225">
        <v>0.14452272759654888</v>
      </c>
      <c r="F31" s="146">
        <v>91.092999640749127</v>
      </c>
      <c r="G31" s="151">
        <f t="shared" si="0"/>
        <v>104.25800841378164</v>
      </c>
    </row>
    <row r="32" spans="2:7" x14ac:dyDescent="0.3">
      <c r="B32" s="145">
        <v>2038</v>
      </c>
      <c r="D32" s="225">
        <v>0.14378970619287659</v>
      </c>
      <c r="F32" s="146">
        <v>92.611649617220579</v>
      </c>
      <c r="G32" s="151">
        <f t="shared" si="0"/>
        <v>105.92825150571835</v>
      </c>
    </row>
    <row r="33" spans="2:7" x14ac:dyDescent="0.3">
      <c r="B33" s="145">
        <v>2039</v>
      </c>
      <c r="D33" s="225">
        <v>0.14306040268456358</v>
      </c>
      <c r="F33" s="146">
        <v>94.155617650624322</v>
      </c>
      <c r="G33" s="151">
        <f t="shared" si="0"/>
        <v>107.62555822673644</v>
      </c>
    </row>
    <row r="34" spans="2:7" x14ac:dyDescent="0.3">
      <c r="B34" s="145">
        <v>2040</v>
      </c>
      <c r="D34" s="225">
        <v>0.14233479821438982</v>
      </c>
      <c r="F34" s="146">
        <v>95.725325829010089</v>
      </c>
      <c r="G34" s="151">
        <f t="shared" si="0"/>
        <v>109.35037076488896</v>
      </c>
    </row>
    <row r="35" spans="2:7" x14ac:dyDescent="0.3">
      <c r="B35" s="145">
        <v>2041</v>
      </c>
      <c r="D35" s="225">
        <v>0.14161287402077935</v>
      </c>
      <c r="F35" s="146">
        <v>97.321203277236293</v>
      </c>
      <c r="G35" s="151">
        <f t="shared" si="0"/>
        <v>111.10313857648622</v>
      </c>
    </row>
    <row r="36" spans="2:7" x14ac:dyDescent="0.3">
      <c r="B36" s="145">
        <v>2042</v>
      </c>
      <c r="D36" s="225">
        <v>0.14089461143731524</v>
      </c>
      <c r="F36" s="146">
        <v>98.943686274283564</v>
      </c>
      <c r="G36" s="151">
        <f t="shared" si="0"/>
        <v>112.88431850607438</v>
      </c>
    </row>
    <row r="37" spans="2:7" x14ac:dyDescent="0.3">
      <c r="B37" s="145">
        <v>2043</v>
      </c>
      <c r="D37" s="225">
        <v>0.14017999189225686</v>
      </c>
      <c r="F37" s="146">
        <v>100.59321837252422</v>
      </c>
      <c r="G37" s="151">
        <f t="shared" si="0"/>
        <v>114.69437490840069</v>
      </c>
    </row>
    <row r="38" spans="2:7" x14ac:dyDescent="0.3">
      <c r="B38" s="145">
        <v>2044</v>
      </c>
      <c r="D38" s="225">
        <v>0.13946899690805975</v>
      </c>
      <c r="F38" s="146">
        <v>102.27025051898001</v>
      </c>
      <c r="G38" s="151">
        <f t="shared" si="0"/>
        <v>116.53377977239813</v>
      </c>
    </row>
    <row r="39" spans="2:7" x14ac:dyDescent="0.3">
      <c r="B39" s="145">
        <v>2045</v>
      </c>
      <c r="D39" s="225">
        <v>0.13876160810089783</v>
      </c>
      <c r="F39" s="146">
        <v>103.97524117860148</v>
      </c>
      <c r="G39" s="151">
        <f t="shared" si="0"/>
        <v>118.40301284722291</v>
      </c>
    </row>
    <row r="40" spans="2:7" x14ac:dyDescent="0.3">
      <c r="B40" s="145">
        <v>2046</v>
      </c>
      <c r="D40" s="225">
        <v>0.13805780718018801</v>
      </c>
      <c r="F40" s="146">
        <v>105.70865645960252</v>
      </c>
      <c r="G40" s="151">
        <f t="shared" si="0"/>
        <v>120.30256177037906</v>
      </c>
    </row>
    <row r="41" spans="2:7" x14ac:dyDescent="0.3">
      <c r="B41" s="145">
        <v>2047</v>
      </c>
      <c r="D41" s="225">
        <v>0.13735757594811737</v>
      </c>
      <c r="F41" s="146">
        <v>107.47097024088448</v>
      </c>
      <c r="G41" s="151">
        <f t="shared" si="0"/>
        <v>122.23292219796464</v>
      </c>
    </row>
    <row r="42" spans="2:7" x14ac:dyDescent="0.3">
      <c r="B42" s="145">
        <v>2048</v>
      </c>
      <c r="D42" s="225">
        <v>0.13666089629917255</v>
      </c>
      <c r="F42" s="146">
        <v>109.26266430158455</v>
      </c>
      <c r="G42" s="151">
        <f t="shared" si="0"/>
        <v>124.19459793707472</v>
      </c>
    </row>
    <row r="43" spans="2:7" x14ac:dyDescent="0.3">
      <c r="B43" s="145">
        <v>2049</v>
      </c>
      <c r="D43" s="225">
        <v>0.13596775021967158</v>
      </c>
      <c r="F43" s="146">
        <v>111.08422845278398</v>
      </c>
      <c r="G43" s="151">
        <f t="shared" si="0"/>
        <v>126.18810108039705</v>
      </c>
    </row>
    <row r="44" spans="2:7" ht="15" thickBot="1" x14ac:dyDescent="0.35">
      <c r="B44" s="147">
        <v>2050</v>
      </c>
      <c r="D44" s="225">
        <v>0.13527811978729823</v>
      </c>
      <c r="F44" s="148">
        <v>112.93616067141195</v>
      </c>
      <c r="G44" s="152">
        <f t="shared" si="0"/>
        <v>128.21395214303678</v>
      </c>
    </row>
  </sheetData>
  <mergeCells count="2">
    <mergeCell ref="F7:G9"/>
    <mergeCell ref="D7:D9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AJ56"/>
  <sheetViews>
    <sheetView zoomScale="68" zoomScaleNormal="68" workbookViewId="0">
      <selection activeCell="A2" sqref="A2"/>
    </sheetView>
  </sheetViews>
  <sheetFormatPr defaultColWidth="11.6640625" defaultRowHeight="15.6" x14ac:dyDescent="0.3"/>
  <cols>
    <col min="1" max="1" width="23.88671875" style="89" customWidth="1"/>
    <col min="2" max="28" width="11.6640625" style="89"/>
    <col min="31" max="16384" width="11.6640625" style="89"/>
  </cols>
  <sheetData>
    <row r="1" spans="1:36" ht="23.4" x14ac:dyDescent="0.45">
      <c r="A1" s="208" t="s">
        <v>196</v>
      </c>
      <c r="B1"/>
      <c r="C1"/>
      <c r="D1"/>
      <c r="E1"/>
      <c r="F1"/>
      <c r="G1"/>
      <c r="H1"/>
    </row>
    <row r="2" spans="1:36" x14ac:dyDescent="0.3">
      <c r="A2" s="8" t="s">
        <v>204</v>
      </c>
      <c r="B2"/>
      <c r="C2"/>
      <c r="D2"/>
      <c r="E2"/>
      <c r="F2"/>
      <c r="G2"/>
      <c r="H2"/>
    </row>
    <row r="3" spans="1:36" x14ac:dyDescent="0.3">
      <c r="A3"/>
      <c r="B3"/>
      <c r="C3"/>
      <c r="D3"/>
      <c r="E3"/>
      <c r="F3"/>
      <c r="G3"/>
      <c r="H3"/>
    </row>
    <row r="4" spans="1:36" ht="20.399999999999999" thickBot="1" x14ac:dyDescent="0.45">
      <c r="A4" s="79" t="s">
        <v>88</v>
      </c>
      <c r="B4" s="79"/>
      <c r="C4" s="79"/>
      <c r="D4" s="79"/>
      <c r="E4" s="79"/>
      <c r="F4" s="79"/>
      <c r="G4" s="79"/>
      <c r="H4" s="79"/>
    </row>
    <row r="5" spans="1:36" ht="16.8" thickTop="1" thickBot="1" x14ac:dyDescent="0.35">
      <c r="A5" s="7" t="s">
        <v>24</v>
      </c>
      <c r="B5" s="52">
        <f>'User Selectable Programs'!F7</f>
        <v>2018</v>
      </c>
      <c r="C5"/>
      <c r="D5"/>
      <c r="E5" s="7"/>
      <c r="F5"/>
      <c r="G5"/>
      <c r="H5"/>
    </row>
    <row r="6" spans="1:36" ht="16.8" thickTop="1" thickBot="1" x14ac:dyDescent="0.35">
      <c r="A6" s="7" t="s">
        <v>25</v>
      </c>
      <c r="B6" s="52">
        <f>'User Selectable Programs'!F8</f>
        <v>30</v>
      </c>
      <c r="C6"/>
      <c r="D6"/>
      <c r="E6" s="7"/>
      <c r="F6"/>
      <c r="G6"/>
      <c r="H6"/>
    </row>
    <row r="7" spans="1:36" ht="16.2" thickTop="1" x14ac:dyDescent="0.3"/>
    <row r="9" spans="1:36" ht="20.399999999999999" thickBot="1" x14ac:dyDescent="0.45">
      <c r="A9" s="79" t="s">
        <v>137</v>
      </c>
      <c r="B9" s="79"/>
      <c r="C9" s="79"/>
      <c r="D9" s="79"/>
      <c r="E9" s="79"/>
      <c r="F9" s="79"/>
      <c r="G9" s="79"/>
      <c r="H9" s="79"/>
      <c r="I9" s="79"/>
      <c r="J9" s="79"/>
      <c r="L9" s="79" t="s">
        <v>138</v>
      </c>
      <c r="M9" s="79"/>
      <c r="N9" s="79"/>
      <c r="O9" s="79"/>
      <c r="P9" s="79"/>
      <c r="Q9" s="79"/>
      <c r="R9" s="79"/>
      <c r="S9" s="79"/>
      <c r="T9" s="79"/>
      <c r="W9" s="79" t="s">
        <v>139</v>
      </c>
      <c r="X9" s="79"/>
      <c r="Y9" s="79"/>
      <c r="Z9" s="79"/>
      <c r="AA9" s="79"/>
      <c r="AB9" s="79"/>
      <c r="AC9" s="79"/>
      <c r="AD9" s="79"/>
      <c r="AE9" s="79"/>
      <c r="AG9" s="79" t="s">
        <v>136</v>
      </c>
      <c r="AH9" s="79"/>
      <c r="AI9" s="79"/>
      <c r="AJ9" s="79"/>
    </row>
    <row r="10" spans="1:36" ht="16.2" thickTop="1" x14ac:dyDescent="0.3">
      <c r="A10" s="89" t="s">
        <v>105</v>
      </c>
      <c r="B10" s="268" t="s">
        <v>25</v>
      </c>
      <c r="C10" s="268"/>
      <c r="D10" s="268"/>
      <c r="E10" s="268"/>
      <c r="F10" s="268"/>
      <c r="G10" s="268"/>
      <c r="H10" s="268"/>
      <c r="I10" s="268"/>
      <c r="M10" s="268" t="s">
        <v>134</v>
      </c>
      <c r="N10" s="268"/>
      <c r="O10" s="268"/>
      <c r="P10" s="268"/>
      <c r="Q10" s="268"/>
      <c r="R10" s="268"/>
      <c r="S10" s="268"/>
      <c r="T10" s="268"/>
      <c r="W10" s="93" t="s">
        <v>126</v>
      </c>
      <c r="X10"/>
      <c r="Y10"/>
      <c r="Z10"/>
      <c r="AB10" s="90" t="s">
        <v>135</v>
      </c>
      <c r="AG10" s="89" t="s">
        <v>140</v>
      </c>
      <c r="AH10" s="89" t="str">
        <f>IF(B6&lt;=8,"D="&amp;B6,"midterm")</f>
        <v>midterm</v>
      </c>
    </row>
    <row r="11" spans="1:36" ht="16.2" thickBot="1" x14ac:dyDescent="0.35">
      <c r="B11" s="112">
        <v>1</v>
      </c>
      <c r="C11" s="112">
        <v>2</v>
      </c>
      <c r="D11" s="112">
        <v>3</v>
      </c>
      <c r="E11" s="112">
        <v>4</v>
      </c>
      <c r="F11" s="112">
        <v>5</v>
      </c>
      <c r="G11" s="112">
        <v>6</v>
      </c>
      <c r="H11" s="112">
        <v>7</v>
      </c>
      <c r="I11" s="112">
        <v>8</v>
      </c>
      <c r="J11" s="91" t="s">
        <v>106</v>
      </c>
      <c r="M11" s="90" t="s">
        <v>142</v>
      </c>
      <c r="N11" s="90" t="s">
        <v>107</v>
      </c>
      <c r="O11" s="90" t="s">
        <v>108</v>
      </c>
      <c r="P11" s="90" t="s">
        <v>109</v>
      </c>
      <c r="Q11" s="90" t="s">
        <v>110</v>
      </c>
      <c r="R11" s="90" t="s">
        <v>111</v>
      </c>
      <c r="S11" s="90" t="s">
        <v>112</v>
      </c>
      <c r="T11" s="90" t="s">
        <v>113</v>
      </c>
      <c r="W11" s="118" t="s">
        <v>127</v>
      </c>
      <c r="X11" s="118" t="s">
        <v>128</v>
      </c>
      <c r="Y11" s="118" t="s">
        <v>129</v>
      </c>
      <c r="Z11" s="118" t="s">
        <v>130</v>
      </c>
      <c r="AB11" s="116" t="s">
        <v>127</v>
      </c>
      <c r="AC11" s="117" t="s">
        <v>21</v>
      </c>
      <c r="AD11" s="117" t="s">
        <v>133</v>
      </c>
      <c r="AE11" s="116" t="s">
        <v>141</v>
      </c>
      <c r="AG11" s="97" t="s">
        <v>127</v>
      </c>
      <c r="AH11" s="98" t="s">
        <v>21</v>
      </c>
      <c r="AI11" s="98" t="s">
        <v>133</v>
      </c>
      <c r="AJ11" s="89" t="s">
        <v>140</v>
      </c>
    </row>
    <row r="12" spans="1:36" x14ac:dyDescent="0.3">
      <c r="A12" s="89" t="s">
        <v>41</v>
      </c>
      <c r="B12" s="100">
        <v>0</v>
      </c>
      <c r="C12" s="101">
        <v>0</v>
      </c>
      <c r="D12" s="101">
        <v>0</v>
      </c>
      <c r="E12" s="101">
        <v>0</v>
      </c>
      <c r="F12" s="101">
        <v>0</v>
      </c>
      <c r="G12" s="101">
        <v>0</v>
      </c>
      <c r="H12" s="101">
        <v>0</v>
      </c>
      <c r="I12" s="101">
        <v>0</v>
      </c>
      <c r="J12" s="113">
        <f t="shared" ref="J12:J16" si="0">SUM(B12:I12)</f>
        <v>0</v>
      </c>
      <c r="L12" s="89" t="s">
        <v>41</v>
      </c>
      <c r="M12" s="103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4">
        <v>0</v>
      </c>
      <c r="T12" s="105">
        <v>0</v>
      </c>
      <c r="W12">
        <f>$B$5+Y12</f>
        <v>2023</v>
      </c>
      <c r="X12" t="s">
        <v>7</v>
      </c>
      <c r="Y12">
        <v>5</v>
      </c>
      <c r="Z12" s="94">
        <v>0.3</v>
      </c>
      <c r="AB12" s="5">
        <f>B5</f>
        <v>2018</v>
      </c>
      <c r="AC12" s="5" t="s">
        <v>41</v>
      </c>
      <c r="AD12" s="5">
        <v>0</v>
      </c>
      <c r="AE12" s="115">
        <f>SUMIFS($Z$12:$Z$59,$W$12:$W$59,AB12)</f>
        <v>0</v>
      </c>
      <c r="AG12" s="5">
        <f>B5</f>
        <v>2018</v>
      </c>
      <c r="AH12" s="5" t="s">
        <v>41</v>
      </c>
      <c r="AI12" s="5">
        <v>0</v>
      </c>
      <c r="AJ12" s="119">
        <f t="shared" ref="AJ12:AJ42" si="1">INDEX($M$12:$AE$49,MATCH($AH12,$L$12:$L$49,0),MATCH($AH$10,$M$11:$AE$11,0))</f>
        <v>0</v>
      </c>
    </row>
    <row r="13" spans="1:36" x14ac:dyDescent="0.3">
      <c r="A13" s="89" t="s">
        <v>42</v>
      </c>
      <c r="B13" s="102">
        <v>0</v>
      </c>
      <c r="C13" s="99">
        <v>0</v>
      </c>
      <c r="D13" s="99">
        <v>0</v>
      </c>
      <c r="E13" s="99">
        <v>0</v>
      </c>
      <c r="F13" s="99">
        <v>0</v>
      </c>
      <c r="G13" s="99">
        <v>0</v>
      </c>
      <c r="H13" s="99">
        <v>0</v>
      </c>
      <c r="I13" s="99">
        <v>0</v>
      </c>
      <c r="J13" s="114">
        <f t="shared" si="0"/>
        <v>0</v>
      </c>
      <c r="L13" s="89" t="s">
        <v>42</v>
      </c>
      <c r="M13" s="106">
        <v>0</v>
      </c>
      <c r="N13" s="107">
        <v>0</v>
      </c>
      <c r="O13" s="107">
        <v>0</v>
      </c>
      <c r="P13" s="107">
        <v>0</v>
      </c>
      <c r="Q13" s="107">
        <v>0</v>
      </c>
      <c r="R13" s="107">
        <v>0</v>
      </c>
      <c r="S13" s="107">
        <v>0</v>
      </c>
      <c r="T13" s="108">
        <v>0</v>
      </c>
      <c r="W13">
        <f t="shared" ref="W13:W15" si="2">$B$5+Y13</f>
        <v>2024</v>
      </c>
      <c r="X13" t="s">
        <v>8</v>
      </c>
      <c r="Y13">
        <v>6</v>
      </c>
      <c r="Z13" s="94">
        <v>0.5</v>
      </c>
      <c r="AB13" s="5">
        <f>AB12+1</f>
        <v>2019</v>
      </c>
      <c r="AC13" s="5" t="s">
        <v>42</v>
      </c>
      <c r="AD13" s="5">
        <f>AD12+1</f>
        <v>1</v>
      </c>
      <c r="AE13" s="115">
        <f t="shared" ref="AE13:AE46" si="3">SUMIFS($Z$12:$Z$59,$W$12:$W$59,AB13)</f>
        <v>0</v>
      </c>
      <c r="AG13" s="5">
        <f>AG12+1</f>
        <v>2019</v>
      </c>
      <c r="AH13" s="5" t="s">
        <v>42</v>
      </c>
      <c r="AI13" s="5">
        <f>AI12+1</f>
        <v>1</v>
      </c>
      <c r="AJ13" s="119">
        <f t="shared" si="1"/>
        <v>0</v>
      </c>
    </row>
    <row r="14" spans="1:36" x14ac:dyDescent="0.3">
      <c r="A14" s="89" t="s">
        <v>43</v>
      </c>
      <c r="B14" s="102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0</v>
      </c>
      <c r="I14" s="99">
        <v>0</v>
      </c>
      <c r="J14" s="114">
        <f t="shared" si="0"/>
        <v>0</v>
      </c>
      <c r="L14" s="89" t="s">
        <v>43</v>
      </c>
      <c r="M14" s="106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108">
        <v>0</v>
      </c>
      <c r="W14">
        <f t="shared" si="2"/>
        <v>2025</v>
      </c>
      <c r="X14" t="s">
        <v>9</v>
      </c>
      <c r="Y14">
        <v>7</v>
      </c>
      <c r="Z14" s="94">
        <v>0.7</v>
      </c>
      <c r="AB14" s="5">
        <f t="shared" ref="AB14:AB39" si="4">AB13+1</f>
        <v>2020</v>
      </c>
      <c r="AC14" s="5" t="s">
        <v>43</v>
      </c>
      <c r="AD14" s="5">
        <f t="shared" ref="AD14:AD39" si="5">AD13+1</f>
        <v>2</v>
      </c>
      <c r="AE14" s="115">
        <f t="shared" si="3"/>
        <v>0</v>
      </c>
      <c r="AG14" s="5">
        <f t="shared" ref="AG14:AG38" si="6">AG13+1</f>
        <v>2020</v>
      </c>
      <c r="AH14" s="5" t="s">
        <v>43</v>
      </c>
      <c r="AI14" s="5">
        <f t="shared" ref="AI14:AI38" si="7">AI13+1</f>
        <v>2</v>
      </c>
      <c r="AJ14" s="119">
        <f t="shared" si="1"/>
        <v>0</v>
      </c>
    </row>
    <row r="15" spans="1:36" x14ac:dyDescent="0.3">
      <c r="A15" s="89" t="s">
        <v>44</v>
      </c>
      <c r="B15" s="102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114">
        <f t="shared" si="0"/>
        <v>0</v>
      </c>
      <c r="L15" s="89" t="s">
        <v>44</v>
      </c>
      <c r="M15" s="106">
        <v>0</v>
      </c>
      <c r="N15" s="107">
        <v>0</v>
      </c>
      <c r="O15" s="107">
        <v>0</v>
      </c>
      <c r="P15" s="107">
        <v>0</v>
      </c>
      <c r="Q15" s="107">
        <v>0</v>
      </c>
      <c r="R15" s="107">
        <v>0</v>
      </c>
      <c r="S15" s="107">
        <v>0</v>
      </c>
      <c r="T15" s="108">
        <v>0</v>
      </c>
      <c r="W15">
        <f t="shared" si="2"/>
        <v>2026</v>
      </c>
      <c r="X15" t="s">
        <v>10</v>
      </c>
      <c r="Y15">
        <v>8</v>
      </c>
      <c r="Z15" s="94">
        <v>0.90000000000000013</v>
      </c>
      <c r="AB15" s="5">
        <f t="shared" si="4"/>
        <v>2021</v>
      </c>
      <c r="AC15" s="5" t="s">
        <v>44</v>
      </c>
      <c r="AD15" s="5">
        <f t="shared" si="5"/>
        <v>3</v>
      </c>
      <c r="AE15" s="115">
        <f t="shared" si="3"/>
        <v>0</v>
      </c>
      <c r="AG15" s="5">
        <f t="shared" si="6"/>
        <v>2021</v>
      </c>
      <c r="AH15" s="5" t="s">
        <v>44</v>
      </c>
      <c r="AI15" s="5">
        <f t="shared" si="7"/>
        <v>3</v>
      </c>
      <c r="AJ15" s="119">
        <f t="shared" si="1"/>
        <v>0</v>
      </c>
    </row>
    <row r="16" spans="1:36" x14ac:dyDescent="0.3">
      <c r="A16" s="89" t="s">
        <v>45</v>
      </c>
      <c r="B16" s="102">
        <v>0</v>
      </c>
      <c r="C16" s="99">
        <v>0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114">
        <f t="shared" si="0"/>
        <v>0</v>
      </c>
      <c r="L16" s="89" t="s">
        <v>45</v>
      </c>
      <c r="M16" s="106">
        <v>0</v>
      </c>
      <c r="N16" s="107">
        <v>0</v>
      </c>
      <c r="O16" s="107">
        <v>0</v>
      </c>
      <c r="P16" s="107">
        <v>0</v>
      </c>
      <c r="Q16" s="107">
        <v>0</v>
      </c>
      <c r="R16" s="107">
        <v>0</v>
      </c>
      <c r="S16" s="107">
        <v>0</v>
      </c>
      <c r="T16" s="108">
        <v>0</v>
      </c>
      <c r="W16"/>
      <c r="X16"/>
      <c r="Y16"/>
      <c r="Z16" s="6"/>
      <c r="AB16" s="5">
        <f t="shared" si="4"/>
        <v>2022</v>
      </c>
      <c r="AC16" s="5" t="s">
        <v>45</v>
      </c>
      <c r="AD16" s="5">
        <f t="shared" si="5"/>
        <v>4</v>
      </c>
      <c r="AE16" s="115">
        <f t="shared" si="3"/>
        <v>0</v>
      </c>
      <c r="AG16" s="5">
        <f t="shared" si="6"/>
        <v>2022</v>
      </c>
      <c r="AH16" s="5" t="s">
        <v>45</v>
      </c>
      <c r="AI16" s="5">
        <f t="shared" si="7"/>
        <v>4</v>
      </c>
      <c r="AJ16" s="119">
        <f t="shared" si="1"/>
        <v>0</v>
      </c>
    </row>
    <row r="17" spans="1:36" x14ac:dyDescent="0.3">
      <c r="A17" s="89" t="s">
        <v>7</v>
      </c>
      <c r="B17" s="102">
        <v>0.3</v>
      </c>
      <c r="C17" s="99">
        <v>0</v>
      </c>
      <c r="D17" s="99">
        <v>0</v>
      </c>
      <c r="E17" s="99">
        <v>0</v>
      </c>
      <c r="F17" s="99">
        <v>0</v>
      </c>
      <c r="G17" s="99">
        <v>0</v>
      </c>
      <c r="H17" s="99">
        <v>0</v>
      </c>
      <c r="I17" s="99">
        <v>0</v>
      </c>
      <c r="J17" s="114">
        <f t="shared" ref="J17:J41" si="8">SUM(B17:I17)</f>
        <v>0.3</v>
      </c>
      <c r="L17" s="90" t="s">
        <v>7</v>
      </c>
      <c r="M17" s="109">
        <v>0.3</v>
      </c>
      <c r="N17" s="110">
        <v>0.3</v>
      </c>
      <c r="O17" s="110">
        <v>0.3</v>
      </c>
      <c r="P17" s="110">
        <v>0.3</v>
      </c>
      <c r="Q17" s="110">
        <v>0.3</v>
      </c>
      <c r="R17" s="110">
        <v>0.3</v>
      </c>
      <c r="S17" s="110">
        <v>0.3</v>
      </c>
      <c r="T17" s="111">
        <v>0.3</v>
      </c>
      <c r="W17" s="93" t="s">
        <v>131</v>
      </c>
      <c r="X17"/>
      <c r="Y17"/>
      <c r="Z17" s="6"/>
      <c r="AB17" s="5">
        <f t="shared" si="4"/>
        <v>2023</v>
      </c>
      <c r="AC17" s="5" t="s">
        <v>7</v>
      </c>
      <c r="AD17" s="5">
        <f t="shared" si="5"/>
        <v>5</v>
      </c>
      <c r="AE17" s="115">
        <f t="shared" si="3"/>
        <v>0.3</v>
      </c>
      <c r="AG17" s="5">
        <f t="shared" si="6"/>
        <v>2023</v>
      </c>
      <c r="AH17" s="5" t="s">
        <v>7</v>
      </c>
      <c r="AI17" s="5">
        <f t="shared" si="7"/>
        <v>5</v>
      </c>
      <c r="AJ17" s="119">
        <f t="shared" si="1"/>
        <v>0.3</v>
      </c>
    </row>
    <row r="18" spans="1:36" x14ac:dyDescent="0.3">
      <c r="A18" s="89" t="s">
        <v>8</v>
      </c>
      <c r="B18" s="102">
        <v>0.2</v>
      </c>
      <c r="C18" s="99">
        <f t="shared" ref="C18:I27" si="9">IF(C$11&lt;=$B$6,B17,0)</f>
        <v>0.3</v>
      </c>
      <c r="D18" s="99">
        <f t="shared" si="9"/>
        <v>0</v>
      </c>
      <c r="E18" s="99">
        <f t="shared" si="9"/>
        <v>0</v>
      </c>
      <c r="F18" s="99">
        <f t="shared" si="9"/>
        <v>0</v>
      </c>
      <c r="G18" s="99">
        <f t="shared" si="9"/>
        <v>0</v>
      </c>
      <c r="H18" s="99">
        <f t="shared" si="9"/>
        <v>0</v>
      </c>
      <c r="I18" s="99">
        <f t="shared" si="9"/>
        <v>0</v>
      </c>
      <c r="J18" s="114">
        <f t="shared" si="8"/>
        <v>0.5</v>
      </c>
      <c r="L18" s="90" t="s">
        <v>8</v>
      </c>
      <c r="M18" s="109">
        <v>0.2</v>
      </c>
      <c r="N18" s="110">
        <v>0.5</v>
      </c>
      <c r="O18" s="110">
        <v>0.5</v>
      </c>
      <c r="P18" s="110">
        <v>0.5</v>
      </c>
      <c r="Q18" s="110">
        <v>0.5</v>
      </c>
      <c r="R18" s="110">
        <v>0.5</v>
      </c>
      <c r="S18" s="110">
        <v>0.5</v>
      </c>
      <c r="T18" s="111">
        <v>0.5</v>
      </c>
      <c r="W18" t="s">
        <v>127</v>
      </c>
      <c r="X18" t="s">
        <v>128</v>
      </c>
      <c r="Y18" t="s">
        <v>21</v>
      </c>
      <c r="Z18" s="6"/>
      <c r="AB18" s="5">
        <f t="shared" si="4"/>
        <v>2024</v>
      </c>
      <c r="AC18" s="5" t="s">
        <v>8</v>
      </c>
      <c r="AD18" s="5">
        <f t="shared" si="5"/>
        <v>6</v>
      </c>
      <c r="AE18" s="115">
        <f t="shared" si="3"/>
        <v>0.5</v>
      </c>
      <c r="AG18" s="5">
        <f t="shared" si="6"/>
        <v>2024</v>
      </c>
      <c r="AH18" s="5" t="s">
        <v>8</v>
      </c>
      <c r="AI18" s="5">
        <f t="shared" si="7"/>
        <v>6</v>
      </c>
      <c r="AJ18" s="119">
        <f t="shared" si="1"/>
        <v>0.5</v>
      </c>
    </row>
    <row r="19" spans="1:36" x14ac:dyDescent="0.3">
      <c r="A19" s="89" t="s">
        <v>9</v>
      </c>
      <c r="B19" s="102">
        <v>0.2</v>
      </c>
      <c r="C19" s="99">
        <f t="shared" si="9"/>
        <v>0.2</v>
      </c>
      <c r="D19" s="99">
        <f t="shared" si="9"/>
        <v>0.3</v>
      </c>
      <c r="E19" s="99">
        <f t="shared" si="9"/>
        <v>0</v>
      </c>
      <c r="F19" s="99">
        <f t="shared" si="9"/>
        <v>0</v>
      </c>
      <c r="G19" s="99">
        <f t="shared" si="9"/>
        <v>0</v>
      </c>
      <c r="H19" s="99">
        <f t="shared" si="9"/>
        <v>0</v>
      </c>
      <c r="I19" s="99">
        <f t="shared" si="9"/>
        <v>0</v>
      </c>
      <c r="J19" s="114">
        <f t="shared" si="8"/>
        <v>0.7</v>
      </c>
      <c r="L19" s="90" t="s">
        <v>9</v>
      </c>
      <c r="M19" s="109">
        <v>0.2</v>
      </c>
      <c r="N19" s="110">
        <v>0.4</v>
      </c>
      <c r="O19" s="110">
        <v>0.7</v>
      </c>
      <c r="P19" s="110">
        <v>0.7</v>
      </c>
      <c r="Q19" s="110">
        <v>0.7</v>
      </c>
      <c r="R19" s="110">
        <v>0.7</v>
      </c>
      <c r="S19" s="110">
        <v>0.7</v>
      </c>
      <c r="T19" s="111">
        <v>0.7</v>
      </c>
      <c r="W19">
        <f>$B$5+Y19</f>
        <v>2053</v>
      </c>
      <c r="X19" t="str">
        <f>"N+"&amp;Y19</f>
        <v>N+35</v>
      </c>
      <c r="Y19">
        <f>5+$B$6</f>
        <v>35</v>
      </c>
      <c r="Z19" s="95">
        <v>0.7</v>
      </c>
      <c r="AB19" s="5">
        <f t="shared" si="4"/>
        <v>2025</v>
      </c>
      <c r="AC19" s="5" t="s">
        <v>9</v>
      </c>
      <c r="AD19" s="5">
        <f t="shared" si="5"/>
        <v>7</v>
      </c>
      <c r="AE19" s="115">
        <f t="shared" si="3"/>
        <v>0.7</v>
      </c>
      <c r="AG19" s="5">
        <f t="shared" si="6"/>
        <v>2025</v>
      </c>
      <c r="AH19" s="5" t="s">
        <v>9</v>
      </c>
      <c r="AI19" s="5">
        <f t="shared" si="7"/>
        <v>7</v>
      </c>
      <c r="AJ19" s="119">
        <f t="shared" si="1"/>
        <v>0.7</v>
      </c>
    </row>
    <row r="20" spans="1:36" x14ac:dyDescent="0.3">
      <c r="A20" s="89" t="s">
        <v>10</v>
      </c>
      <c r="B20" s="102">
        <v>0.2</v>
      </c>
      <c r="C20" s="99">
        <f t="shared" si="9"/>
        <v>0.2</v>
      </c>
      <c r="D20" s="99">
        <f t="shared" si="9"/>
        <v>0.2</v>
      </c>
      <c r="E20" s="99">
        <f t="shared" si="9"/>
        <v>0.3</v>
      </c>
      <c r="F20" s="99">
        <f t="shared" si="9"/>
        <v>0</v>
      </c>
      <c r="G20" s="99">
        <f t="shared" si="9"/>
        <v>0</v>
      </c>
      <c r="H20" s="99">
        <f t="shared" si="9"/>
        <v>0</v>
      </c>
      <c r="I20" s="99">
        <f t="shared" si="9"/>
        <v>0</v>
      </c>
      <c r="J20" s="114">
        <f t="shared" si="8"/>
        <v>0.90000000000000013</v>
      </c>
      <c r="L20" s="90" t="s">
        <v>10</v>
      </c>
      <c r="M20" s="109">
        <v>0.2</v>
      </c>
      <c r="N20" s="110">
        <v>0.4</v>
      </c>
      <c r="O20" s="110">
        <v>0.60000000000000009</v>
      </c>
      <c r="P20" s="110">
        <v>0.90000000000000013</v>
      </c>
      <c r="Q20" s="110">
        <v>0.90000000000000013</v>
      </c>
      <c r="R20" s="110">
        <v>0.90000000000000013</v>
      </c>
      <c r="S20" s="110">
        <v>0.90000000000000013</v>
      </c>
      <c r="T20" s="111">
        <v>0.90000000000000013</v>
      </c>
      <c r="W20">
        <f t="shared" ref="W20:W22" si="10">$B$5+Y20</f>
        <v>2054</v>
      </c>
      <c r="X20" t="str">
        <f t="shared" ref="X20:X22" si="11">"N+"&amp;Y20</f>
        <v>N+36</v>
      </c>
      <c r="Y20">
        <f>6+$B$6</f>
        <v>36</v>
      </c>
      <c r="Z20" s="95">
        <v>0.5</v>
      </c>
      <c r="AB20" s="5">
        <f t="shared" si="4"/>
        <v>2026</v>
      </c>
      <c r="AC20" s="5" t="s">
        <v>10</v>
      </c>
      <c r="AD20" s="5">
        <f t="shared" si="5"/>
        <v>8</v>
      </c>
      <c r="AE20" s="115">
        <f t="shared" si="3"/>
        <v>0.90000000000000013</v>
      </c>
      <c r="AG20" s="5">
        <f t="shared" si="6"/>
        <v>2026</v>
      </c>
      <c r="AH20" s="5" t="s">
        <v>10</v>
      </c>
      <c r="AI20" s="5">
        <f t="shared" si="7"/>
        <v>8</v>
      </c>
      <c r="AJ20" s="119">
        <f t="shared" si="1"/>
        <v>0.90000000000000013</v>
      </c>
    </row>
    <row r="21" spans="1:36" x14ac:dyDescent="0.3">
      <c r="A21" s="89" t="s">
        <v>11</v>
      </c>
      <c r="B21" s="102">
        <v>0.1</v>
      </c>
      <c r="C21" s="99">
        <f t="shared" si="9"/>
        <v>0.2</v>
      </c>
      <c r="D21" s="99">
        <f t="shared" si="9"/>
        <v>0.2</v>
      </c>
      <c r="E21" s="99">
        <f t="shared" si="9"/>
        <v>0.2</v>
      </c>
      <c r="F21" s="99">
        <f t="shared" si="9"/>
        <v>0.3</v>
      </c>
      <c r="G21" s="99">
        <f t="shared" si="9"/>
        <v>0</v>
      </c>
      <c r="H21" s="99">
        <f t="shared" si="9"/>
        <v>0</v>
      </c>
      <c r="I21" s="99">
        <f t="shared" si="9"/>
        <v>0</v>
      </c>
      <c r="J21" s="114">
        <f t="shared" si="8"/>
        <v>1</v>
      </c>
      <c r="L21" s="90" t="s">
        <v>11</v>
      </c>
      <c r="M21" s="109">
        <v>0.1</v>
      </c>
      <c r="N21" s="110">
        <v>0.30000000000000004</v>
      </c>
      <c r="O21" s="110">
        <v>0.5</v>
      </c>
      <c r="P21" s="110">
        <v>0.7</v>
      </c>
      <c r="Q21" s="110">
        <v>1</v>
      </c>
      <c r="R21" s="110">
        <v>1</v>
      </c>
      <c r="S21" s="110">
        <v>1</v>
      </c>
      <c r="T21" s="111">
        <v>1</v>
      </c>
      <c r="W21">
        <f t="shared" si="10"/>
        <v>2055</v>
      </c>
      <c r="X21" t="str">
        <f t="shared" si="11"/>
        <v>N+37</v>
      </c>
      <c r="Y21">
        <f>7+$B$6</f>
        <v>37</v>
      </c>
      <c r="Z21" s="95">
        <v>0.30000000000000004</v>
      </c>
      <c r="AB21" s="5">
        <f t="shared" si="4"/>
        <v>2027</v>
      </c>
      <c r="AC21" s="5" t="s">
        <v>11</v>
      </c>
      <c r="AD21" s="5">
        <f t="shared" si="5"/>
        <v>9</v>
      </c>
      <c r="AE21" s="115">
        <f t="shared" si="3"/>
        <v>1</v>
      </c>
      <c r="AG21" s="5">
        <f t="shared" si="6"/>
        <v>2027</v>
      </c>
      <c r="AH21" s="5" t="s">
        <v>11</v>
      </c>
      <c r="AI21" s="5">
        <f t="shared" si="7"/>
        <v>9</v>
      </c>
      <c r="AJ21" s="119">
        <f t="shared" si="1"/>
        <v>1</v>
      </c>
    </row>
    <row r="22" spans="1:36" x14ac:dyDescent="0.3">
      <c r="A22" s="89" t="s">
        <v>12</v>
      </c>
      <c r="B22" s="102">
        <v>0</v>
      </c>
      <c r="C22" s="99">
        <f t="shared" si="9"/>
        <v>0.1</v>
      </c>
      <c r="D22" s="99">
        <f t="shared" si="9"/>
        <v>0.2</v>
      </c>
      <c r="E22" s="99">
        <f t="shared" si="9"/>
        <v>0.2</v>
      </c>
      <c r="F22" s="99">
        <f t="shared" si="9"/>
        <v>0.2</v>
      </c>
      <c r="G22" s="99">
        <f t="shared" si="9"/>
        <v>0.3</v>
      </c>
      <c r="H22" s="99">
        <f t="shared" si="9"/>
        <v>0</v>
      </c>
      <c r="I22" s="99">
        <f t="shared" si="9"/>
        <v>0</v>
      </c>
      <c r="J22" s="114">
        <f t="shared" si="8"/>
        <v>1</v>
      </c>
      <c r="L22" s="90" t="s">
        <v>12</v>
      </c>
      <c r="M22" s="109">
        <v>0</v>
      </c>
      <c r="N22" s="110">
        <v>0.1</v>
      </c>
      <c r="O22" s="110">
        <v>0.30000000000000004</v>
      </c>
      <c r="P22" s="110">
        <v>0.5</v>
      </c>
      <c r="Q22" s="110">
        <v>0.7</v>
      </c>
      <c r="R22" s="110">
        <v>1</v>
      </c>
      <c r="S22" s="110">
        <v>1</v>
      </c>
      <c r="T22" s="111">
        <v>1</v>
      </c>
      <c r="W22">
        <f t="shared" si="10"/>
        <v>2056</v>
      </c>
      <c r="X22" t="str">
        <f t="shared" si="11"/>
        <v>N+38</v>
      </c>
      <c r="Y22">
        <f>8+$B$6</f>
        <v>38</v>
      </c>
      <c r="Z22" s="95">
        <v>0.1</v>
      </c>
      <c r="AB22" s="5">
        <f t="shared" si="4"/>
        <v>2028</v>
      </c>
      <c r="AC22" s="5" t="s">
        <v>12</v>
      </c>
      <c r="AD22" s="5">
        <f t="shared" si="5"/>
        <v>10</v>
      </c>
      <c r="AE22" s="115">
        <f t="shared" si="3"/>
        <v>1</v>
      </c>
      <c r="AG22" s="5">
        <f t="shared" si="6"/>
        <v>2028</v>
      </c>
      <c r="AH22" s="5" t="s">
        <v>12</v>
      </c>
      <c r="AI22" s="5">
        <f t="shared" si="7"/>
        <v>10</v>
      </c>
      <c r="AJ22" s="119">
        <f t="shared" si="1"/>
        <v>1</v>
      </c>
    </row>
    <row r="23" spans="1:36" x14ac:dyDescent="0.3">
      <c r="A23" s="89" t="s">
        <v>13</v>
      </c>
      <c r="B23" s="102">
        <v>0</v>
      </c>
      <c r="C23" s="99">
        <f t="shared" si="9"/>
        <v>0</v>
      </c>
      <c r="D23" s="99">
        <f t="shared" si="9"/>
        <v>0.1</v>
      </c>
      <c r="E23" s="99">
        <f t="shared" si="9"/>
        <v>0.2</v>
      </c>
      <c r="F23" s="99">
        <f t="shared" si="9"/>
        <v>0.2</v>
      </c>
      <c r="G23" s="99">
        <f t="shared" si="9"/>
        <v>0.2</v>
      </c>
      <c r="H23" s="99">
        <f t="shared" si="9"/>
        <v>0.3</v>
      </c>
      <c r="I23" s="99">
        <f t="shared" si="9"/>
        <v>0</v>
      </c>
      <c r="J23" s="114">
        <f t="shared" si="8"/>
        <v>1</v>
      </c>
      <c r="L23" s="90" t="s">
        <v>13</v>
      </c>
      <c r="M23" s="109">
        <v>0</v>
      </c>
      <c r="N23" s="110">
        <v>0</v>
      </c>
      <c r="O23" s="110">
        <v>0.1</v>
      </c>
      <c r="P23" s="110">
        <v>0.30000000000000004</v>
      </c>
      <c r="Q23" s="110">
        <v>0.5</v>
      </c>
      <c r="R23" s="110">
        <v>0.7</v>
      </c>
      <c r="S23" s="110">
        <v>1</v>
      </c>
      <c r="T23" s="111">
        <v>1</v>
      </c>
      <c r="W23"/>
      <c r="X23"/>
      <c r="Y23"/>
      <c r="Z23" s="6"/>
      <c r="AB23" s="5">
        <f t="shared" si="4"/>
        <v>2029</v>
      </c>
      <c r="AC23" s="5" t="s">
        <v>13</v>
      </c>
      <c r="AD23" s="5">
        <f t="shared" si="5"/>
        <v>11</v>
      </c>
      <c r="AE23" s="115">
        <f t="shared" si="3"/>
        <v>1</v>
      </c>
      <c r="AG23" s="5">
        <f t="shared" si="6"/>
        <v>2029</v>
      </c>
      <c r="AH23" s="5" t="s">
        <v>13</v>
      </c>
      <c r="AI23" s="5">
        <f t="shared" si="7"/>
        <v>11</v>
      </c>
      <c r="AJ23" s="119">
        <f t="shared" si="1"/>
        <v>1</v>
      </c>
    </row>
    <row r="24" spans="1:36" x14ac:dyDescent="0.3">
      <c r="A24" s="89" t="s">
        <v>14</v>
      </c>
      <c r="B24" s="102">
        <v>0</v>
      </c>
      <c r="C24" s="99">
        <f t="shared" si="9"/>
        <v>0</v>
      </c>
      <c r="D24" s="99">
        <f t="shared" si="9"/>
        <v>0</v>
      </c>
      <c r="E24" s="99">
        <f t="shared" si="9"/>
        <v>0.1</v>
      </c>
      <c r="F24" s="99">
        <f t="shared" si="9"/>
        <v>0.2</v>
      </c>
      <c r="G24" s="99">
        <f t="shared" si="9"/>
        <v>0.2</v>
      </c>
      <c r="H24" s="99">
        <f t="shared" si="9"/>
        <v>0.2</v>
      </c>
      <c r="I24" s="99">
        <f t="shared" si="9"/>
        <v>0.3</v>
      </c>
      <c r="J24" s="114">
        <f t="shared" si="8"/>
        <v>1</v>
      </c>
      <c r="L24" s="90" t="s">
        <v>14</v>
      </c>
      <c r="M24" s="109">
        <v>0</v>
      </c>
      <c r="N24" s="110">
        <v>0</v>
      </c>
      <c r="O24" s="110">
        <v>0</v>
      </c>
      <c r="P24" s="110">
        <v>0.1</v>
      </c>
      <c r="Q24" s="110">
        <v>0.30000000000000004</v>
      </c>
      <c r="R24" s="110">
        <v>0.5</v>
      </c>
      <c r="S24" s="110">
        <v>0.7</v>
      </c>
      <c r="T24" s="111">
        <v>1</v>
      </c>
      <c r="W24" s="93" t="s">
        <v>132</v>
      </c>
      <c r="X24"/>
      <c r="Y24"/>
      <c r="Z24" s="6"/>
      <c r="AB24" s="5">
        <f t="shared" si="4"/>
        <v>2030</v>
      </c>
      <c r="AC24" s="5" t="s">
        <v>14</v>
      </c>
      <c r="AD24" s="5">
        <f t="shared" si="5"/>
        <v>12</v>
      </c>
      <c r="AE24" s="115">
        <f t="shared" si="3"/>
        <v>1</v>
      </c>
      <c r="AG24" s="5">
        <f t="shared" si="6"/>
        <v>2030</v>
      </c>
      <c r="AH24" s="5" t="s">
        <v>14</v>
      </c>
      <c r="AI24" s="5">
        <f t="shared" si="7"/>
        <v>12</v>
      </c>
      <c r="AJ24" s="119">
        <f t="shared" si="1"/>
        <v>1</v>
      </c>
    </row>
    <row r="25" spans="1:36" x14ac:dyDescent="0.3">
      <c r="A25" s="89" t="s">
        <v>15</v>
      </c>
      <c r="B25" s="102">
        <v>0</v>
      </c>
      <c r="C25" s="99">
        <f t="shared" si="9"/>
        <v>0</v>
      </c>
      <c r="D25" s="99">
        <f t="shared" si="9"/>
        <v>0</v>
      </c>
      <c r="E25" s="99">
        <f t="shared" si="9"/>
        <v>0</v>
      </c>
      <c r="F25" s="99">
        <f t="shared" si="9"/>
        <v>0.1</v>
      </c>
      <c r="G25" s="99">
        <f t="shared" si="9"/>
        <v>0.2</v>
      </c>
      <c r="H25" s="99">
        <f t="shared" si="9"/>
        <v>0.2</v>
      </c>
      <c r="I25" s="99">
        <f t="shared" si="9"/>
        <v>0.2</v>
      </c>
      <c r="J25" s="114">
        <f t="shared" si="8"/>
        <v>0.7</v>
      </c>
      <c r="L25" s="90" t="s">
        <v>15</v>
      </c>
      <c r="M25" s="109">
        <v>0</v>
      </c>
      <c r="N25" s="110">
        <v>0</v>
      </c>
      <c r="O25" s="110">
        <v>0</v>
      </c>
      <c r="P25" s="110">
        <v>0</v>
      </c>
      <c r="Q25" s="110">
        <v>0.1</v>
      </c>
      <c r="R25" s="110">
        <v>0.30000000000000004</v>
      </c>
      <c r="S25" s="110">
        <v>0.5</v>
      </c>
      <c r="T25" s="111">
        <v>0.7</v>
      </c>
      <c r="W25" t="s">
        <v>127</v>
      </c>
      <c r="X25" t="s">
        <v>21</v>
      </c>
      <c r="Y25" t="s">
        <v>21</v>
      </c>
      <c r="Z25" s="6"/>
      <c r="AB25" s="5">
        <f t="shared" si="4"/>
        <v>2031</v>
      </c>
      <c r="AC25" s="5" t="s">
        <v>15</v>
      </c>
      <c r="AD25" s="5">
        <f t="shared" si="5"/>
        <v>13</v>
      </c>
      <c r="AE25" s="115">
        <f t="shared" si="3"/>
        <v>1</v>
      </c>
      <c r="AG25" s="5">
        <f t="shared" si="6"/>
        <v>2031</v>
      </c>
      <c r="AH25" s="5" t="s">
        <v>15</v>
      </c>
      <c r="AI25" s="5">
        <f t="shared" si="7"/>
        <v>13</v>
      </c>
      <c r="AJ25" s="119">
        <f t="shared" si="1"/>
        <v>1</v>
      </c>
    </row>
    <row r="26" spans="1:36" x14ac:dyDescent="0.3">
      <c r="A26" s="89" t="s">
        <v>16</v>
      </c>
      <c r="B26" s="102">
        <v>0</v>
      </c>
      <c r="C26" s="99">
        <f t="shared" si="9"/>
        <v>0</v>
      </c>
      <c r="D26" s="99">
        <f t="shared" si="9"/>
        <v>0</v>
      </c>
      <c r="E26" s="99">
        <f t="shared" si="9"/>
        <v>0</v>
      </c>
      <c r="F26" s="99">
        <f t="shared" si="9"/>
        <v>0</v>
      </c>
      <c r="G26" s="99">
        <f t="shared" si="9"/>
        <v>0.1</v>
      </c>
      <c r="H26" s="99">
        <f t="shared" si="9"/>
        <v>0.2</v>
      </c>
      <c r="I26" s="99">
        <f t="shared" si="9"/>
        <v>0.2</v>
      </c>
      <c r="J26" s="114">
        <f t="shared" si="8"/>
        <v>0.5</v>
      </c>
      <c r="L26" s="90" t="s">
        <v>16</v>
      </c>
      <c r="M26" s="109">
        <v>0</v>
      </c>
      <c r="N26" s="110">
        <v>0</v>
      </c>
      <c r="O26" s="110">
        <v>0</v>
      </c>
      <c r="P26" s="110">
        <v>0</v>
      </c>
      <c r="Q26" s="110">
        <v>0</v>
      </c>
      <c r="R26" s="110">
        <v>0.1</v>
      </c>
      <c r="S26" s="110">
        <v>0.30000000000000004</v>
      </c>
      <c r="T26" s="111">
        <v>0.5</v>
      </c>
      <c r="W26">
        <f>$B$5+Y26</f>
        <v>2027</v>
      </c>
      <c r="X26" t="str">
        <f>"N+"&amp;Y26</f>
        <v>N+9</v>
      </c>
      <c r="Y26">
        <f>9</f>
        <v>9</v>
      </c>
      <c r="Z26" s="6">
        <v>1</v>
      </c>
      <c r="AB26" s="5">
        <f t="shared" si="4"/>
        <v>2032</v>
      </c>
      <c r="AC26" s="5" t="s">
        <v>16</v>
      </c>
      <c r="AD26" s="5">
        <f t="shared" si="5"/>
        <v>14</v>
      </c>
      <c r="AE26" s="115">
        <f t="shared" si="3"/>
        <v>1</v>
      </c>
      <c r="AG26" s="5">
        <f t="shared" si="6"/>
        <v>2032</v>
      </c>
      <c r="AH26" s="5" t="s">
        <v>16</v>
      </c>
      <c r="AI26" s="5">
        <f t="shared" si="7"/>
        <v>14</v>
      </c>
      <c r="AJ26" s="119">
        <f t="shared" si="1"/>
        <v>1</v>
      </c>
    </row>
    <row r="27" spans="1:36" x14ac:dyDescent="0.3">
      <c r="A27" s="89" t="s">
        <v>17</v>
      </c>
      <c r="B27" s="102">
        <v>0</v>
      </c>
      <c r="C27" s="99">
        <f t="shared" si="9"/>
        <v>0</v>
      </c>
      <c r="D27" s="99">
        <f t="shared" si="9"/>
        <v>0</v>
      </c>
      <c r="E27" s="99">
        <f t="shared" si="9"/>
        <v>0</v>
      </c>
      <c r="F27" s="99">
        <f t="shared" si="9"/>
        <v>0</v>
      </c>
      <c r="G27" s="99">
        <f t="shared" si="9"/>
        <v>0</v>
      </c>
      <c r="H27" s="99">
        <f t="shared" si="9"/>
        <v>0.1</v>
      </c>
      <c r="I27" s="99">
        <f t="shared" si="9"/>
        <v>0.2</v>
      </c>
      <c r="J27" s="114">
        <f t="shared" si="8"/>
        <v>0.30000000000000004</v>
      </c>
      <c r="L27" s="90" t="s">
        <v>17</v>
      </c>
      <c r="M27" s="109">
        <v>0</v>
      </c>
      <c r="N27" s="110">
        <v>0</v>
      </c>
      <c r="O27" s="110">
        <v>0</v>
      </c>
      <c r="P27" s="110">
        <v>0</v>
      </c>
      <c r="Q27" s="110">
        <v>0</v>
      </c>
      <c r="R27" s="110">
        <v>0</v>
      </c>
      <c r="S27" s="110">
        <v>0.1</v>
      </c>
      <c r="T27" s="111">
        <v>0.30000000000000004</v>
      </c>
      <c r="W27">
        <f>IF(Y27=0,0,$B$5+Y27)</f>
        <v>2028</v>
      </c>
      <c r="X27" t="str">
        <f>"N+"&amp;Y27</f>
        <v>N+10</v>
      </c>
      <c r="Y27">
        <f>IF(COUNTIF($Y$26:Y26,"&gt;"&amp;0)&lt;($B$6-4),Y26+1,0)</f>
        <v>10</v>
      </c>
      <c r="Z27" s="6">
        <f>IF(Y27=0,0,1)</f>
        <v>1</v>
      </c>
      <c r="AB27" s="5">
        <f t="shared" si="4"/>
        <v>2033</v>
      </c>
      <c r="AC27" s="5" t="s">
        <v>17</v>
      </c>
      <c r="AD27" s="5">
        <f t="shared" si="5"/>
        <v>15</v>
      </c>
      <c r="AE27" s="115">
        <f t="shared" si="3"/>
        <v>1</v>
      </c>
      <c r="AG27" s="5">
        <f t="shared" si="6"/>
        <v>2033</v>
      </c>
      <c r="AH27" s="5" t="s">
        <v>17</v>
      </c>
      <c r="AI27" s="5">
        <f t="shared" si="7"/>
        <v>15</v>
      </c>
      <c r="AJ27" s="119">
        <f t="shared" si="1"/>
        <v>1</v>
      </c>
    </row>
    <row r="28" spans="1:36" x14ac:dyDescent="0.3">
      <c r="A28" s="89" t="s">
        <v>18</v>
      </c>
      <c r="B28" s="102">
        <v>0</v>
      </c>
      <c r="C28" s="99">
        <f t="shared" ref="C28:I37" si="12">IF(C$11&lt;=$B$6,B27,0)</f>
        <v>0</v>
      </c>
      <c r="D28" s="99">
        <f t="shared" si="12"/>
        <v>0</v>
      </c>
      <c r="E28" s="99">
        <f t="shared" si="12"/>
        <v>0</v>
      </c>
      <c r="F28" s="99">
        <f t="shared" si="12"/>
        <v>0</v>
      </c>
      <c r="G28" s="99">
        <f t="shared" si="12"/>
        <v>0</v>
      </c>
      <c r="H28" s="99">
        <f t="shared" si="12"/>
        <v>0</v>
      </c>
      <c r="I28" s="99">
        <f t="shared" si="12"/>
        <v>0.1</v>
      </c>
      <c r="J28" s="114">
        <f t="shared" si="8"/>
        <v>0.1</v>
      </c>
      <c r="L28" s="90" t="s">
        <v>18</v>
      </c>
      <c r="M28" s="109">
        <v>0</v>
      </c>
      <c r="N28" s="110">
        <v>0</v>
      </c>
      <c r="O28" s="110">
        <v>0</v>
      </c>
      <c r="P28" s="110">
        <v>0</v>
      </c>
      <c r="Q28" s="110">
        <v>0</v>
      </c>
      <c r="R28" s="110">
        <v>0</v>
      </c>
      <c r="S28" s="110">
        <v>0</v>
      </c>
      <c r="T28" s="111">
        <v>0.1</v>
      </c>
      <c r="W28">
        <f t="shared" ref="W28:W39" si="13">IF(Y28=0,0,$B$5+Y28)</f>
        <v>2029</v>
      </c>
      <c r="X28" t="str">
        <f t="shared" ref="X28:X39" si="14">"N+"&amp;Y28</f>
        <v>N+11</v>
      </c>
      <c r="Y28">
        <f>IF(COUNTIF($Y$26:Y27,"&gt;"&amp;0)&lt;($B$6-4),Y27+1,0)</f>
        <v>11</v>
      </c>
      <c r="Z28" s="6">
        <f t="shared" ref="Z28:Z39" si="15">IF(Y28=0,0,1)</f>
        <v>1</v>
      </c>
      <c r="AB28" s="5">
        <f t="shared" si="4"/>
        <v>2034</v>
      </c>
      <c r="AC28" s="5" t="s">
        <v>18</v>
      </c>
      <c r="AD28" s="5">
        <f t="shared" si="5"/>
        <v>16</v>
      </c>
      <c r="AE28" s="115">
        <f t="shared" si="3"/>
        <v>1</v>
      </c>
      <c r="AG28" s="5">
        <f t="shared" si="6"/>
        <v>2034</v>
      </c>
      <c r="AH28" s="5" t="s">
        <v>18</v>
      </c>
      <c r="AI28" s="5">
        <f t="shared" si="7"/>
        <v>16</v>
      </c>
      <c r="AJ28" s="119">
        <f t="shared" si="1"/>
        <v>1</v>
      </c>
    </row>
    <row r="29" spans="1:36" x14ac:dyDescent="0.3">
      <c r="A29" s="89" t="s">
        <v>19</v>
      </c>
      <c r="B29" s="102">
        <v>0</v>
      </c>
      <c r="C29" s="99">
        <f t="shared" si="12"/>
        <v>0</v>
      </c>
      <c r="D29" s="99">
        <f t="shared" si="12"/>
        <v>0</v>
      </c>
      <c r="E29" s="99">
        <f t="shared" si="12"/>
        <v>0</v>
      </c>
      <c r="F29" s="99">
        <f t="shared" si="12"/>
        <v>0</v>
      </c>
      <c r="G29" s="99">
        <f t="shared" si="12"/>
        <v>0</v>
      </c>
      <c r="H29" s="99">
        <f t="shared" si="12"/>
        <v>0</v>
      </c>
      <c r="I29" s="99">
        <f t="shared" si="12"/>
        <v>0</v>
      </c>
      <c r="J29" s="114">
        <f t="shared" si="8"/>
        <v>0</v>
      </c>
      <c r="L29" s="90" t="s">
        <v>19</v>
      </c>
      <c r="M29" s="109">
        <v>0</v>
      </c>
      <c r="N29" s="110">
        <v>0</v>
      </c>
      <c r="O29" s="110">
        <v>0</v>
      </c>
      <c r="P29" s="110">
        <v>0</v>
      </c>
      <c r="Q29" s="110">
        <v>0</v>
      </c>
      <c r="R29" s="110">
        <v>0</v>
      </c>
      <c r="S29" s="110">
        <v>0</v>
      </c>
      <c r="T29" s="111">
        <v>0</v>
      </c>
      <c r="W29">
        <f t="shared" si="13"/>
        <v>2030</v>
      </c>
      <c r="X29" t="str">
        <f t="shared" si="14"/>
        <v>N+12</v>
      </c>
      <c r="Y29">
        <f>IF(COUNTIF($Y$26:Y28,"&gt;"&amp;0)&lt;($B$6-4),Y28+1,0)</f>
        <v>12</v>
      </c>
      <c r="Z29" s="6">
        <f t="shared" si="15"/>
        <v>1</v>
      </c>
      <c r="AB29" s="5">
        <f t="shared" si="4"/>
        <v>2035</v>
      </c>
      <c r="AC29" s="5" t="s">
        <v>19</v>
      </c>
      <c r="AD29" s="5">
        <f t="shared" si="5"/>
        <v>17</v>
      </c>
      <c r="AE29" s="115">
        <f t="shared" si="3"/>
        <v>1</v>
      </c>
      <c r="AG29" s="5">
        <f t="shared" si="6"/>
        <v>2035</v>
      </c>
      <c r="AH29" s="5" t="s">
        <v>19</v>
      </c>
      <c r="AI29" s="5">
        <f t="shared" si="7"/>
        <v>17</v>
      </c>
      <c r="AJ29" s="119">
        <f t="shared" si="1"/>
        <v>1</v>
      </c>
    </row>
    <row r="30" spans="1:36" x14ac:dyDescent="0.3">
      <c r="A30" s="89" t="s">
        <v>20</v>
      </c>
      <c r="B30" s="102">
        <v>0</v>
      </c>
      <c r="C30" s="99">
        <f t="shared" si="12"/>
        <v>0</v>
      </c>
      <c r="D30" s="99">
        <f t="shared" si="12"/>
        <v>0</v>
      </c>
      <c r="E30" s="99">
        <f t="shared" si="12"/>
        <v>0</v>
      </c>
      <c r="F30" s="99">
        <f t="shared" si="12"/>
        <v>0</v>
      </c>
      <c r="G30" s="99">
        <f t="shared" si="12"/>
        <v>0</v>
      </c>
      <c r="H30" s="99">
        <f t="shared" si="12"/>
        <v>0</v>
      </c>
      <c r="I30" s="99">
        <f t="shared" si="12"/>
        <v>0</v>
      </c>
      <c r="J30" s="114">
        <f t="shared" si="8"/>
        <v>0</v>
      </c>
      <c r="L30" s="90" t="s">
        <v>20</v>
      </c>
      <c r="M30" s="109">
        <v>0</v>
      </c>
      <c r="N30" s="110">
        <v>0</v>
      </c>
      <c r="O30" s="110">
        <v>0</v>
      </c>
      <c r="P30" s="110">
        <v>0</v>
      </c>
      <c r="Q30" s="110">
        <v>0</v>
      </c>
      <c r="R30" s="110">
        <v>0</v>
      </c>
      <c r="S30" s="110">
        <v>0</v>
      </c>
      <c r="T30" s="111">
        <v>0</v>
      </c>
      <c r="W30">
        <f t="shared" si="13"/>
        <v>2031</v>
      </c>
      <c r="X30" t="str">
        <f t="shared" si="14"/>
        <v>N+13</v>
      </c>
      <c r="Y30">
        <f>IF(COUNTIF($Y$26:Y29,"&gt;"&amp;0)&lt;($B$6-4),Y29+1,0)</f>
        <v>13</v>
      </c>
      <c r="Z30" s="6">
        <f t="shared" si="15"/>
        <v>1</v>
      </c>
      <c r="AB30" s="5">
        <f t="shared" si="4"/>
        <v>2036</v>
      </c>
      <c r="AC30" s="5" t="s">
        <v>20</v>
      </c>
      <c r="AD30" s="5">
        <f t="shared" si="5"/>
        <v>18</v>
      </c>
      <c r="AE30" s="115">
        <f t="shared" si="3"/>
        <v>1</v>
      </c>
      <c r="AG30" s="5">
        <f t="shared" si="6"/>
        <v>2036</v>
      </c>
      <c r="AH30" s="5" t="s">
        <v>20</v>
      </c>
      <c r="AI30" s="5">
        <f t="shared" si="7"/>
        <v>18</v>
      </c>
      <c r="AJ30" s="119">
        <f t="shared" si="1"/>
        <v>1</v>
      </c>
    </row>
    <row r="31" spans="1:36" x14ac:dyDescent="0.3">
      <c r="A31" s="89" t="s">
        <v>114</v>
      </c>
      <c r="B31" s="102">
        <v>0</v>
      </c>
      <c r="C31" s="99">
        <f t="shared" si="12"/>
        <v>0</v>
      </c>
      <c r="D31" s="99">
        <f t="shared" si="12"/>
        <v>0</v>
      </c>
      <c r="E31" s="99">
        <f t="shared" si="12"/>
        <v>0</v>
      </c>
      <c r="F31" s="99">
        <f t="shared" si="12"/>
        <v>0</v>
      </c>
      <c r="G31" s="99">
        <f t="shared" si="12"/>
        <v>0</v>
      </c>
      <c r="H31" s="99">
        <f t="shared" si="12"/>
        <v>0</v>
      </c>
      <c r="I31" s="99">
        <f t="shared" si="12"/>
        <v>0</v>
      </c>
      <c r="J31" s="114">
        <f t="shared" si="8"/>
        <v>0</v>
      </c>
      <c r="L31" s="90" t="s">
        <v>114</v>
      </c>
      <c r="M31" s="109">
        <v>0</v>
      </c>
      <c r="N31" s="110">
        <v>0</v>
      </c>
      <c r="O31" s="110">
        <v>0</v>
      </c>
      <c r="P31" s="110">
        <v>0</v>
      </c>
      <c r="Q31" s="110">
        <v>0</v>
      </c>
      <c r="R31" s="110">
        <v>0</v>
      </c>
      <c r="S31" s="110">
        <v>0</v>
      </c>
      <c r="T31" s="111">
        <v>0</v>
      </c>
      <c r="W31">
        <f t="shared" si="13"/>
        <v>2032</v>
      </c>
      <c r="X31" t="str">
        <f t="shared" si="14"/>
        <v>N+14</v>
      </c>
      <c r="Y31">
        <f>IF(COUNTIF($Y$26:Y30,"&gt;"&amp;0)&lt;($B$6-4),Y30+1,0)</f>
        <v>14</v>
      </c>
      <c r="Z31" s="6">
        <f t="shared" si="15"/>
        <v>1</v>
      </c>
      <c r="AB31" s="5">
        <f t="shared" si="4"/>
        <v>2037</v>
      </c>
      <c r="AC31" s="5" t="s">
        <v>114</v>
      </c>
      <c r="AD31" s="5">
        <f t="shared" si="5"/>
        <v>19</v>
      </c>
      <c r="AE31" s="115">
        <f t="shared" si="3"/>
        <v>1</v>
      </c>
      <c r="AG31" s="5">
        <f t="shared" si="6"/>
        <v>2037</v>
      </c>
      <c r="AH31" s="5" t="s">
        <v>114</v>
      </c>
      <c r="AI31" s="5">
        <f t="shared" si="7"/>
        <v>19</v>
      </c>
      <c r="AJ31" s="119">
        <f t="shared" si="1"/>
        <v>1</v>
      </c>
    </row>
    <row r="32" spans="1:36" x14ac:dyDescent="0.3">
      <c r="A32" s="89" t="s">
        <v>115</v>
      </c>
      <c r="B32" s="102">
        <v>0</v>
      </c>
      <c r="C32" s="99">
        <f t="shared" si="12"/>
        <v>0</v>
      </c>
      <c r="D32" s="99">
        <f t="shared" si="12"/>
        <v>0</v>
      </c>
      <c r="E32" s="99">
        <f t="shared" si="12"/>
        <v>0</v>
      </c>
      <c r="F32" s="99">
        <f t="shared" si="12"/>
        <v>0</v>
      </c>
      <c r="G32" s="99">
        <f t="shared" si="12"/>
        <v>0</v>
      </c>
      <c r="H32" s="99">
        <f t="shared" si="12"/>
        <v>0</v>
      </c>
      <c r="I32" s="99">
        <f t="shared" si="12"/>
        <v>0</v>
      </c>
      <c r="J32" s="114">
        <f t="shared" si="8"/>
        <v>0</v>
      </c>
      <c r="L32" s="90" t="s">
        <v>115</v>
      </c>
      <c r="M32" s="109">
        <v>0</v>
      </c>
      <c r="N32" s="110">
        <v>0</v>
      </c>
      <c r="O32" s="110">
        <v>0</v>
      </c>
      <c r="P32" s="110">
        <v>0</v>
      </c>
      <c r="Q32" s="110">
        <v>0</v>
      </c>
      <c r="R32" s="110">
        <v>0</v>
      </c>
      <c r="S32" s="110">
        <v>0</v>
      </c>
      <c r="T32" s="111">
        <v>0</v>
      </c>
      <c r="W32">
        <f t="shared" si="13"/>
        <v>2033</v>
      </c>
      <c r="X32" t="str">
        <f t="shared" si="14"/>
        <v>N+15</v>
      </c>
      <c r="Y32">
        <f>IF(COUNTIF($Y$26:Y31,"&gt;"&amp;0)&lt;($B$6-4),Y31+1,0)</f>
        <v>15</v>
      </c>
      <c r="Z32" s="6">
        <f t="shared" si="15"/>
        <v>1</v>
      </c>
      <c r="AB32" s="5">
        <f t="shared" si="4"/>
        <v>2038</v>
      </c>
      <c r="AC32" s="5" t="s">
        <v>115</v>
      </c>
      <c r="AD32" s="5">
        <f t="shared" si="5"/>
        <v>20</v>
      </c>
      <c r="AE32" s="115">
        <f t="shared" si="3"/>
        <v>1</v>
      </c>
      <c r="AG32" s="5">
        <f t="shared" si="6"/>
        <v>2038</v>
      </c>
      <c r="AH32" s="5" t="s">
        <v>115</v>
      </c>
      <c r="AI32" s="5">
        <f t="shared" si="7"/>
        <v>20</v>
      </c>
      <c r="AJ32" s="119">
        <f t="shared" si="1"/>
        <v>1</v>
      </c>
    </row>
    <row r="33" spans="1:36" x14ac:dyDescent="0.3">
      <c r="A33" s="89" t="s">
        <v>116</v>
      </c>
      <c r="B33" s="102">
        <v>0</v>
      </c>
      <c r="C33" s="99">
        <f t="shared" si="12"/>
        <v>0</v>
      </c>
      <c r="D33" s="99">
        <f t="shared" si="12"/>
        <v>0</v>
      </c>
      <c r="E33" s="99">
        <f t="shared" si="12"/>
        <v>0</v>
      </c>
      <c r="F33" s="99">
        <f t="shared" si="12"/>
        <v>0</v>
      </c>
      <c r="G33" s="99">
        <f t="shared" si="12"/>
        <v>0</v>
      </c>
      <c r="H33" s="99">
        <f t="shared" si="12"/>
        <v>0</v>
      </c>
      <c r="I33" s="99">
        <f t="shared" si="12"/>
        <v>0</v>
      </c>
      <c r="J33" s="114">
        <f t="shared" si="8"/>
        <v>0</v>
      </c>
      <c r="L33" s="90" t="s">
        <v>116</v>
      </c>
      <c r="M33" s="109">
        <v>0</v>
      </c>
      <c r="N33" s="110">
        <v>0</v>
      </c>
      <c r="O33" s="110">
        <v>0</v>
      </c>
      <c r="P33" s="110">
        <v>0</v>
      </c>
      <c r="Q33" s="110">
        <v>0</v>
      </c>
      <c r="R33" s="110">
        <v>0</v>
      </c>
      <c r="S33" s="110">
        <v>0</v>
      </c>
      <c r="T33" s="111">
        <v>0</v>
      </c>
      <c r="W33">
        <f t="shared" si="13"/>
        <v>2034</v>
      </c>
      <c r="X33" t="str">
        <f t="shared" si="14"/>
        <v>N+16</v>
      </c>
      <c r="Y33">
        <f>IF(COUNTIF($Y$26:Y32,"&gt;"&amp;0)&lt;($B$6-4),Y32+1,0)</f>
        <v>16</v>
      </c>
      <c r="Z33" s="6">
        <f t="shared" si="15"/>
        <v>1</v>
      </c>
      <c r="AB33" s="5">
        <f t="shared" si="4"/>
        <v>2039</v>
      </c>
      <c r="AC33" s="5" t="s">
        <v>116</v>
      </c>
      <c r="AD33" s="5">
        <f t="shared" si="5"/>
        <v>21</v>
      </c>
      <c r="AE33" s="115">
        <f t="shared" si="3"/>
        <v>1</v>
      </c>
      <c r="AG33" s="5">
        <f t="shared" si="6"/>
        <v>2039</v>
      </c>
      <c r="AH33" s="5" t="s">
        <v>116</v>
      </c>
      <c r="AI33" s="5">
        <f t="shared" si="7"/>
        <v>21</v>
      </c>
      <c r="AJ33" s="119">
        <f t="shared" si="1"/>
        <v>1</v>
      </c>
    </row>
    <row r="34" spans="1:36" x14ac:dyDescent="0.3">
      <c r="A34" s="89" t="s">
        <v>117</v>
      </c>
      <c r="B34" s="102">
        <v>0</v>
      </c>
      <c r="C34" s="99">
        <f t="shared" si="12"/>
        <v>0</v>
      </c>
      <c r="D34" s="99">
        <f t="shared" si="12"/>
        <v>0</v>
      </c>
      <c r="E34" s="99">
        <f t="shared" si="12"/>
        <v>0</v>
      </c>
      <c r="F34" s="99">
        <f t="shared" si="12"/>
        <v>0</v>
      </c>
      <c r="G34" s="99">
        <f t="shared" si="12"/>
        <v>0</v>
      </c>
      <c r="H34" s="99">
        <f t="shared" si="12"/>
        <v>0</v>
      </c>
      <c r="I34" s="99">
        <f t="shared" si="12"/>
        <v>0</v>
      </c>
      <c r="J34" s="114">
        <f t="shared" si="8"/>
        <v>0</v>
      </c>
      <c r="L34" s="89" t="s">
        <v>117</v>
      </c>
      <c r="M34" s="106">
        <v>0</v>
      </c>
      <c r="N34" s="107">
        <f t="shared" ref="N34:T44" si="16">IF(N$11&lt;=$B$6,M33,0)</f>
        <v>0</v>
      </c>
      <c r="O34" s="107">
        <f t="shared" si="16"/>
        <v>0</v>
      </c>
      <c r="P34" s="107">
        <f t="shared" si="16"/>
        <v>0</v>
      </c>
      <c r="Q34" s="107">
        <f t="shared" si="16"/>
        <v>0</v>
      </c>
      <c r="R34" s="107">
        <f t="shared" si="16"/>
        <v>0</v>
      </c>
      <c r="S34" s="107">
        <f t="shared" si="16"/>
        <v>0</v>
      </c>
      <c r="T34" s="108">
        <f t="shared" si="16"/>
        <v>0</v>
      </c>
      <c r="U34" s="92"/>
      <c r="W34">
        <f t="shared" si="13"/>
        <v>2035</v>
      </c>
      <c r="X34" t="str">
        <f t="shared" si="14"/>
        <v>N+17</v>
      </c>
      <c r="Y34">
        <f>IF(COUNTIF($Y$26:Y33,"&gt;"&amp;0)&lt;($B$6-4),Y33+1,0)</f>
        <v>17</v>
      </c>
      <c r="Z34" s="6">
        <f t="shared" si="15"/>
        <v>1</v>
      </c>
      <c r="AB34" s="5">
        <f t="shared" si="4"/>
        <v>2040</v>
      </c>
      <c r="AC34" s="5" t="s">
        <v>117</v>
      </c>
      <c r="AD34" s="5">
        <f t="shared" si="5"/>
        <v>22</v>
      </c>
      <c r="AE34" s="115">
        <f t="shared" si="3"/>
        <v>1</v>
      </c>
      <c r="AG34" s="5">
        <f t="shared" si="6"/>
        <v>2040</v>
      </c>
      <c r="AH34" s="5" t="s">
        <v>117</v>
      </c>
      <c r="AI34" s="5">
        <f t="shared" si="7"/>
        <v>22</v>
      </c>
      <c r="AJ34" s="119">
        <f t="shared" si="1"/>
        <v>1</v>
      </c>
    </row>
    <row r="35" spans="1:36" x14ac:dyDescent="0.3">
      <c r="A35" s="89" t="s">
        <v>118</v>
      </c>
      <c r="B35" s="102">
        <v>0</v>
      </c>
      <c r="C35" s="99">
        <f t="shared" si="12"/>
        <v>0</v>
      </c>
      <c r="D35" s="99">
        <f t="shared" si="12"/>
        <v>0</v>
      </c>
      <c r="E35" s="99">
        <f t="shared" si="12"/>
        <v>0</v>
      </c>
      <c r="F35" s="99">
        <f t="shared" si="12"/>
        <v>0</v>
      </c>
      <c r="G35" s="99">
        <f t="shared" si="12"/>
        <v>0</v>
      </c>
      <c r="H35" s="99">
        <f t="shared" si="12"/>
        <v>0</v>
      </c>
      <c r="I35" s="99">
        <f t="shared" si="12"/>
        <v>0</v>
      </c>
      <c r="J35" s="114">
        <f t="shared" si="8"/>
        <v>0</v>
      </c>
      <c r="L35" s="89" t="s">
        <v>118</v>
      </c>
      <c r="M35" s="106">
        <v>0</v>
      </c>
      <c r="N35" s="107">
        <f t="shared" si="16"/>
        <v>0</v>
      </c>
      <c r="O35" s="107">
        <f t="shared" si="16"/>
        <v>0</v>
      </c>
      <c r="P35" s="107">
        <f t="shared" si="16"/>
        <v>0</v>
      </c>
      <c r="Q35" s="107">
        <f t="shared" si="16"/>
        <v>0</v>
      </c>
      <c r="R35" s="107">
        <f t="shared" si="16"/>
        <v>0</v>
      </c>
      <c r="S35" s="107">
        <f t="shared" si="16"/>
        <v>0</v>
      </c>
      <c r="T35" s="108">
        <f t="shared" si="16"/>
        <v>0</v>
      </c>
      <c r="U35" s="92"/>
      <c r="W35">
        <f t="shared" si="13"/>
        <v>2036</v>
      </c>
      <c r="X35" t="str">
        <f t="shared" si="14"/>
        <v>N+18</v>
      </c>
      <c r="Y35">
        <f>IF(COUNTIF($Y$26:Y34,"&gt;"&amp;0)&lt;($B$6-4),Y34+1,0)</f>
        <v>18</v>
      </c>
      <c r="Z35" s="6">
        <f>IF(Y35=0,0,1)</f>
        <v>1</v>
      </c>
      <c r="AB35" s="5">
        <f t="shared" si="4"/>
        <v>2041</v>
      </c>
      <c r="AC35" s="5" t="s">
        <v>118</v>
      </c>
      <c r="AD35" s="5">
        <f t="shared" si="5"/>
        <v>23</v>
      </c>
      <c r="AE35" s="115">
        <f t="shared" si="3"/>
        <v>1</v>
      </c>
      <c r="AG35" s="5">
        <f t="shared" si="6"/>
        <v>2041</v>
      </c>
      <c r="AH35" s="5" t="s">
        <v>118</v>
      </c>
      <c r="AI35" s="5">
        <f t="shared" si="7"/>
        <v>23</v>
      </c>
      <c r="AJ35" s="119">
        <f t="shared" si="1"/>
        <v>1</v>
      </c>
    </row>
    <row r="36" spans="1:36" x14ac:dyDescent="0.3">
      <c r="A36" s="89" t="s">
        <v>119</v>
      </c>
      <c r="B36" s="102">
        <v>0</v>
      </c>
      <c r="C36" s="99">
        <f t="shared" si="12"/>
        <v>0</v>
      </c>
      <c r="D36" s="99">
        <f t="shared" si="12"/>
        <v>0</v>
      </c>
      <c r="E36" s="99">
        <f t="shared" si="12"/>
        <v>0</v>
      </c>
      <c r="F36" s="99">
        <f t="shared" si="12"/>
        <v>0</v>
      </c>
      <c r="G36" s="99">
        <f t="shared" si="12"/>
        <v>0</v>
      </c>
      <c r="H36" s="99">
        <f t="shared" si="12"/>
        <v>0</v>
      </c>
      <c r="I36" s="99">
        <f t="shared" si="12"/>
        <v>0</v>
      </c>
      <c r="J36" s="114">
        <f t="shared" si="8"/>
        <v>0</v>
      </c>
      <c r="L36" s="89" t="s">
        <v>119</v>
      </c>
      <c r="M36" s="106">
        <v>0</v>
      </c>
      <c r="N36" s="107">
        <f t="shared" si="16"/>
        <v>0</v>
      </c>
      <c r="O36" s="107">
        <f t="shared" si="16"/>
        <v>0</v>
      </c>
      <c r="P36" s="107">
        <f t="shared" si="16"/>
        <v>0</v>
      </c>
      <c r="Q36" s="107">
        <f t="shared" si="16"/>
        <v>0</v>
      </c>
      <c r="R36" s="107">
        <f t="shared" si="16"/>
        <v>0</v>
      </c>
      <c r="S36" s="107">
        <f t="shared" si="16"/>
        <v>0</v>
      </c>
      <c r="T36" s="108">
        <f t="shared" si="16"/>
        <v>0</v>
      </c>
      <c r="U36" s="92"/>
      <c r="W36">
        <f t="shared" si="13"/>
        <v>2037</v>
      </c>
      <c r="X36" t="str">
        <f t="shared" si="14"/>
        <v>N+19</v>
      </c>
      <c r="Y36">
        <f>IF(COUNTIF($Y$26:Y35,"&gt;"&amp;0)&lt;($B$6-4),Y35+1,0)</f>
        <v>19</v>
      </c>
      <c r="Z36" s="6">
        <f t="shared" si="15"/>
        <v>1</v>
      </c>
      <c r="AB36" s="5">
        <f t="shared" si="4"/>
        <v>2042</v>
      </c>
      <c r="AC36" s="5" t="s">
        <v>119</v>
      </c>
      <c r="AD36" s="5">
        <f t="shared" si="5"/>
        <v>24</v>
      </c>
      <c r="AE36" s="115">
        <f t="shared" si="3"/>
        <v>1</v>
      </c>
      <c r="AG36" s="5">
        <f t="shared" si="6"/>
        <v>2042</v>
      </c>
      <c r="AH36" s="5" t="s">
        <v>119</v>
      </c>
      <c r="AI36" s="5">
        <f t="shared" si="7"/>
        <v>24</v>
      </c>
      <c r="AJ36" s="119">
        <f t="shared" si="1"/>
        <v>1</v>
      </c>
    </row>
    <row r="37" spans="1:36" x14ac:dyDescent="0.3">
      <c r="A37" s="89" t="s">
        <v>120</v>
      </c>
      <c r="B37" s="102">
        <v>0</v>
      </c>
      <c r="C37" s="99">
        <f t="shared" si="12"/>
        <v>0</v>
      </c>
      <c r="D37" s="99">
        <f t="shared" si="12"/>
        <v>0</v>
      </c>
      <c r="E37" s="99">
        <f t="shared" si="12"/>
        <v>0</v>
      </c>
      <c r="F37" s="99">
        <f t="shared" si="12"/>
        <v>0</v>
      </c>
      <c r="G37" s="99">
        <f t="shared" si="12"/>
        <v>0</v>
      </c>
      <c r="H37" s="99">
        <f t="shared" si="12"/>
        <v>0</v>
      </c>
      <c r="I37" s="99">
        <f t="shared" si="12"/>
        <v>0</v>
      </c>
      <c r="J37" s="114">
        <f t="shared" si="8"/>
        <v>0</v>
      </c>
      <c r="L37" s="89" t="s">
        <v>120</v>
      </c>
      <c r="M37" s="106">
        <v>0</v>
      </c>
      <c r="N37" s="107">
        <f t="shared" si="16"/>
        <v>0</v>
      </c>
      <c r="O37" s="107">
        <f t="shared" si="16"/>
        <v>0</v>
      </c>
      <c r="P37" s="107">
        <f t="shared" si="16"/>
        <v>0</v>
      </c>
      <c r="Q37" s="107">
        <f t="shared" si="16"/>
        <v>0</v>
      </c>
      <c r="R37" s="107">
        <f t="shared" si="16"/>
        <v>0</v>
      </c>
      <c r="S37" s="107">
        <f t="shared" si="16"/>
        <v>0</v>
      </c>
      <c r="T37" s="108">
        <f t="shared" si="16"/>
        <v>0</v>
      </c>
      <c r="U37" s="92"/>
      <c r="W37">
        <f t="shared" si="13"/>
        <v>2038</v>
      </c>
      <c r="X37" t="str">
        <f t="shared" si="14"/>
        <v>N+20</v>
      </c>
      <c r="Y37">
        <f>IF(COUNTIF($Y$26:Y36,"&gt;"&amp;0)&lt;($B$6-4),Y36+1,0)</f>
        <v>20</v>
      </c>
      <c r="Z37" s="6">
        <f t="shared" si="15"/>
        <v>1</v>
      </c>
      <c r="AB37" s="5">
        <f t="shared" si="4"/>
        <v>2043</v>
      </c>
      <c r="AC37" s="5" t="s">
        <v>120</v>
      </c>
      <c r="AD37" s="5">
        <f t="shared" si="5"/>
        <v>25</v>
      </c>
      <c r="AE37" s="115">
        <f t="shared" si="3"/>
        <v>1</v>
      </c>
      <c r="AG37" s="5">
        <f t="shared" si="6"/>
        <v>2043</v>
      </c>
      <c r="AH37" s="5" t="s">
        <v>120</v>
      </c>
      <c r="AI37" s="5">
        <f t="shared" si="7"/>
        <v>25</v>
      </c>
      <c r="AJ37" s="119">
        <f t="shared" si="1"/>
        <v>1</v>
      </c>
    </row>
    <row r="38" spans="1:36" x14ac:dyDescent="0.3">
      <c r="A38" s="89" t="s">
        <v>121</v>
      </c>
      <c r="B38" s="102">
        <v>0</v>
      </c>
      <c r="C38" s="99">
        <f t="shared" ref="C38:I44" si="17">IF(C$11&lt;=$B$6,B37,0)</f>
        <v>0</v>
      </c>
      <c r="D38" s="99">
        <f t="shared" si="17"/>
        <v>0</v>
      </c>
      <c r="E38" s="99">
        <f t="shared" si="17"/>
        <v>0</v>
      </c>
      <c r="F38" s="99">
        <f t="shared" si="17"/>
        <v>0</v>
      </c>
      <c r="G38" s="99">
        <f t="shared" si="17"/>
        <v>0</v>
      </c>
      <c r="H38" s="99">
        <f t="shared" si="17"/>
        <v>0</v>
      </c>
      <c r="I38" s="99">
        <f t="shared" si="17"/>
        <v>0</v>
      </c>
      <c r="J38" s="114">
        <f t="shared" si="8"/>
        <v>0</v>
      </c>
      <c r="L38" s="89" t="s">
        <v>121</v>
      </c>
      <c r="M38" s="106">
        <v>0</v>
      </c>
      <c r="N38" s="107">
        <f t="shared" si="16"/>
        <v>0</v>
      </c>
      <c r="O38" s="107">
        <f t="shared" si="16"/>
        <v>0</v>
      </c>
      <c r="P38" s="107">
        <f t="shared" si="16"/>
        <v>0</v>
      </c>
      <c r="Q38" s="107">
        <f t="shared" si="16"/>
        <v>0</v>
      </c>
      <c r="R38" s="107">
        <f t="shared" si="16"/>
        <v>0</v>
      </c>
      <c r="S38" s="107">
        <f t="shared" si="16"/>
        <v>0</v>
      </c>
      <c r="T38" s="108">
        <f t="shared" si="16"/>
        <v>0</v>
      </c>
      <c r="U38" s="92"/>
      <c r="W38">
        <f t="shared" si="13"/>
        <v>2039</v>
      </c>
      <c r="X38" t="str">
        <f t="shared" si="14"/>
        <v>N+21</v>
      </c>
      <c r="Y38">
        <f>IF(COUNTIF($Y$26:Y37,"&gt;"&amp;0)&lt;($B$6-4),Y37+1,0)</f>
        <v>21</v>
      </c>
      <c r="Z38" s="6">
        <f t="shared" si="15"/>
        <v>1</v>
      </c>
      <c r="AB38" s="5">
        <f t="shared" si="4"/>
        <v>2044</v>
      </c>
      <c r="AC38" s="5" t="s">
        <v>121</v>
      </c>
      <c r="AD38" s="5">
        <f t="shared" si="5"/>
        <v>26</v>
      </c>
      <c r="AE38" s="115">
        <f t="shared" si="3"/>
        <v>1</v>
      </c>
      <c r="AG38" s="5">
        <f t="shared" si="6"/>
        <v>2044</v>
      </c>
      <c r="AH38" s="5" t="s">
        <v>121</v>
      </c>
      <c r="AI38" s="5">
        <f t="shared" si="7"/>
        <v>26</v>
      </c>
      <c r="AJ38" s="119">
        <f t="shared" si="1"/>
        <v>1</v>
      </c>
    </row>
    <row r="39" spans="1:36" x14ac:dyDescent="0.3">
      <c r="A39" s="89" t="s">
        <v>122</v>
      </c>
      <c r="B39" s="102">
        <v>0</v>
      </c>
      <c r="C39" s="99">
        <f t="shared" si="17"/>
        <v>0</v>
      </c>
      <c r="D39" s="99">
        <f t="shared" si="17"/>
        <v>0</v>
      </c>
      <c r="E39" s="99">
        <f t="shared" si="17"/>
        <v>0</v>
      </c>
      <c r="F39" s="99">
        <f t="shared" si="17"/>
        <v>0</v>
      </c>
      <c r="G39" s="99">
        <f t="shared" si="17"/>
        <v>0</v>
      </c>
      <c r="H39" s="99">
        <f t="shared" si="17"/>
        <v>0</v>
      </c>
      <c r="I39" s="99">
        <f t="shared" si="17"/>
        <v>0</v>
      </c>
      <c r="J39" s="114">
        <f t="shared" si="8"/>
        <v>0</v>
      </c>
      <c r="L39" s="89" t="s">
        <v>122</v>
      </c>
      <c r="M39" s="106">
        <v>0</v>
      </c>
      <c r="N39" s="107">
        <f t="shared" si="16"/>
        <v>0</v>
      </c>
      <c r="O39" s="107">
        <f t="shared" si="16"/>
        <v>0</v>
      </c>
      <c r="P39" s="107">
        <f t="shared" si="16"/>
        <v>0</v>
      </c>
      <c r="Q39" s="107">
        <f t="shared" si="16"/>
        <v>0</v>
      </c>
      <c r="R39" s="107">
        <f t="shared" si="16"/>
        <v>0</v>
      </c>
      <c r="S39" s="107">
        <f t="shared" si="16"/>
        <v>0</v>
      </c>
      <c r="T39" s="108">
        <f t="shared" si="16"/>
        <v>0</v>
      </c>
      <c r="U39" s="92"/>
      <c r="W39">
        <f t="shared" si="13"/>
        <v>2040</v>
      </c>
      <c r="X39" t="str">
        <f t="shared" si="14"/>
        <v>N+22</v>
      </c>
      <c r="Y39">
        <f>IF(COUNTIF($Y$26:Y38,"&gt;"&amp;0)&lt;($B$6-4),Y38+1,0)</f>
        <v>22</v>
      </c>
      <c r="Z39" s="6">
        <f t="shared" si="15"/>
        <v>1</v>
      </c>
      <c r="AB39" s="5">
        <f t="shared" si="4"/>
        <v>2045</v>
      </c>
      <c r="AC39" s="5" t="s">
        <v>122</v>
      </c>
      <c r="AD39" s="5">
        <f t="shared" si="5"/>
        <v>27</v>
      </c>
      <c r="AE39" s="115">
        <f t="shared" si="3"/>
        <v>1</v>
      </c>
      <c r="AG39" s="5">
        <f t="shared" ref="AG39:AG46" si="18">AG38+1</f>
        <v>2045</v>
      </c>
      <c r="AH39" s="5" t="s">
        <v>122</v>
      </c>
      <c r="AI39" s="5">
        <f t="shared" ref="AI39:AI46" si="19">AI38+1</f>
        <v>27</v>
      </c>
      <c r="AJ39" s="119">
        <f t="shared" si="1"/>
        <v>1</v>
      </c>
    </row>
    <row r="40" spans="1:36" x14ac:dyDescent="0.3">
      <c r="A40" s="89" t="s">
        <v>123</v>
      </c>
      <c r="B40" s="102">
        <v>0</v>
      </c>
      <c r="C40" s="99">
        <f t="shared" si="17"/>
        <v>0</v>
      </c>
      <c r="D40" s="99">
        <f t="shared" si="17"/>
        <v>0</v>
      </c>
      <c r="E40" s="99">
        <f t="shared" si="17"/>
        <v>0</v>
      </c>
      <c r="F40" s="99">
        <f t="shared" si="17"/>
        <v>0</v>
      </c>
      <c r="G40" s="99">
        <f t="shared" si="17"/>
        <v>0</v>
      </c>
      <c r="H40" s="99">
        <f t="shared" si="17"/>
        <v>0</v>
      </c>
      <c r="I40" s="99">
        <f t="shared" si="17"/>
        <v>0</v>
      </c>
      <c r="J40" s="114">
        <f t="shared" si="8"/>
        <v>0</v>
      </c>
      <c r="L40" s="89" t="s">
        <v>123</v>
      </c>
      <c r="M40" s="106">
        <v>0</v>
      </c>
      <c r="N40" s="107">
        <f t="shared" si="16"/>
        <v>0</v>
      </c>
      <c r="O40" s="107">
        <f t="shared" si="16"/>
        <v>0</v>
      </c>
      <c r="P40" s="107">
        <f t="shared" si="16"/>
        <v>0</v>
      </c>
      <c r="Q40" s="107">
        <f t="shared" si="16"/>
        <v>0</v>
      </c>
      <c r="R40" s="107">
        <f t="shared" si="16"/>
        <v>0</v>
      </c>
      <c r="S40" s="107">
        <f t="shared" si="16"/>
        <v>0</v>
      </c>
      <c r="T40" s="108">
        <f t="shared" si="16"/>
        <v>0</v>
      </c>
      <c r="U40" s="92"/>
      <c r="W40">
        <f t="shared" ref="W40:W56" si="20">IF(Y40=0,0,$B$5+Y40)</f>
        <v>2041</v>
      </c>
      <c r="X40" t="str">
        <f t="shared" ref="X40:X56" si="21">"N+"&amp;Y40</f>
        <v>N+23</v>
      </c>
      <c r="Y40">
        <f>IF(COUNTIF($Y$26:Y39,"&gt;"&amp;0)&lt;($B$6-4),Y39+1,0)</f>
        <v>23</v>
      </c>
      <c r="Z40" s="6">
        <f t="shared" ref="Z40:Z56" si="22">IF(Y40=0,0,1)</f>
        <v>1</v>
      </c>
      <c r="AB40" s="5">
        <f t="shared" ref="AB40:AB46" si="23">AB39+1</f>
        <v>2046</v>
      </c>
      <c r="AC40" s="5" t="s">
        <v>123</v>
      </c>
      <c r="AD40" s="5">
        <f t="shared" ref="AD40:AD46" si="24">AD39+1</f>
        <v>28</v>
      </c>
      <c r="AE40" s="115">
        <f t="shared" si="3"/>
        <v>1</v>
      </c>
      <c r="AG40" s="5">
        <f t="shared" si="18"/>
        <v>2046</v>
      </c>
      <c r="AH40" s="5" t="s">
        <v>123</v>
      </c>
      <c r="AI40" s="5">
        <f t="shared" si="19"/>
        <v>28</v>
      </c>
      <c r="AJ40" s="119">
        <f t="shared" si="1"/>
        <v>1</v>
      </c>
    </row>
    <row r="41" spans="1:36" x14ac:dyDescent="0.3">
      <c r="A41" s="89" t="s">
        <v>124</v>
      </c>
      <c r="B41" s="102">
        <v>0</v>
      </c>
      <c r="C41" s="99">
        <f t="shared" si="17"/>
        <v>0</v>
      </c>
      <c r="D41" s="99">
        <f t="shared" si="17"/>
        <v>0</v>
      </c>
      <c r="E41" s="99">
        <f t="shared" si="17"/>
        <v>0</v>
      </c>
      <c r="F41" s="99">
        <f t="shared" si="17"/>
        <v>0</v>
      </c>
      <c r="G41" s="99">
        <f t="shared" si="17"/>
        <v>0</v>
      </c>
      <c r="H41" s="99">
        <f t="shared" si="17"/>
        <v>0</v>
      </c>
      <c r="I41" s="99">
        <f t="shared" si="17"/>
        <v>0</v>
      </c>
      <c r="J41" s="114">
        <f t="shared" si="8"/>
        <v>0</v>
      </c>
      <c r="L41" s="89" t="s">
        <v>124</v>
      </c>
      <c r="M41" s="106">
        <v>0</v>
      </c>
      <c r="N41" s="107">
        <f t="shared" si="16"/>
        <v>0</v>
      </c>
      <c r="O41" s="107">
        <f t="shared" si="16"/>
        <v>0</v>
      </c>
      <c r="P41" s="107">
        <f t="shared" si="16"/>
        <v>0</v>
      </c>
      <c r="Q41" s="107">
        <f t="shared" si="16"/>
        <v>0</v>
      </c>
      <c r="R41" s="107">
        <f t="shared" si="16"/>
        <v>0</v>
      </c>
      <c r="S41" s="107">
        <f t="shared" si="16"/>
        <v>0</v>
      </c>
      <c r="T41" s="108">
        <f t="shared" si="16"/>
        <v>0</v>
      </c>
      <c r="U41" s="92"/>
      <c r="W41">
        <f t="shared" si="20"/>
        <v>2042</v>
      </c>
      <c r="X41" t="str">
        <f t="shared" si="21"/>
        <v>N+24</v>
      </c>
      <c r="Y41">
        <f>IF(COUNTIF($Y$26:Y40,"&gt;"&amp;0)&lt;($B$6-4),Y40+1,0)</f>
        <v>24</v>
      </c>
      <c r="Z41" s="6">
        <f t="shared" si="22"/>
        <v>1</v>
      </c>
      <c r="AB41" s="5">
        <f t="shared" si="23"/>
        <v>2047</v>
      </c>
      <c r="AC41" s="5" t="s">
        <v>124</v>
      </c>
      <c r="AD41" s="5">
        <f t="shared" si="24"/>
        <v>29</v>
      </c>
      <c r="AE41" s="115">
        <f t="shared" si="3"/>
        <v>1</v>
      </c>
      <c r="AG41" s="5">
        <f t="shared" si="18"/>
        <v>2047</v>
      </c>
      <c r="AH41" s="5" t="s">
        <v>124</v>
      </c>
      <c r="AI41" s="5">
        <f t="shared" si="19"/>
        <v>29</v>
      </c>
      <c r="AJ41" s="119">
        <f t="shared" si="1"/>
        <v>1</v>
      </c>
    </row>
    <row r="42" spans="1:36" x14ac:dyDescent="0.3">
      <c r="A42" s="89" t="s">
        <v>125</v>
      </c>
      <c r="B42" s="102">
        <v>0</v>
      </c>
      <c r="C42" s="99">
        <f t="shared" si="17"/>
        <v>0</v>
      </c>
      <c r="D42" s="99">
        <f t="shared" si="17"/>
        <v>0</v>
      </c>
      <c r="E42" s="99">
        <f t="shared" si="17"/>
        <v>0</v>
      </c>
      <c r="F42" s="99">
        <f t="shared" si="17"/>
        <v>0</v>
      </c>
      <c r="G42" s="99">
        <f t="shared" si="17"/>
        <v>0</v>
      </c>
      <c r="H42" s="99">
        <f t="shared" si="17"/>
        <v>0</v>
      </c>
      <c r="I42" s="99">
        <f t="shared" si="17"/>
        <v>0</v>
      </c>
      <c r="J42" s="114">
        <f t="shared" ref="J42:J44" si="25">SUM(B42:I42)</f>
        <v>0</v>
      </c>
      <c r="L42" s="89" t="s">
        <v>125</v>
      </c>
      <c r="M42" s="106">
        <v>0</v>
      </c>
      <c r="N42" s="107">
        <f t="shared" si="16"/>
        <v>0</v>
      </c>
      <c r="O42" s="107">
        <f t="shared" si="16"/>
        <v>0</v>
      </c>
      <c r="P42" s="107">
        <f t="shared" si="16"/>
        <v>0</v>
      </c>
      <c r="Q42" s="107">
        <f t="shared" si="16"/>
        <v>0</v>
      </c>
      <c r="R42" s="107">
        <f t="shared" si="16"/>
        <v>0</v>
      </c>
      <c r="S42" s="107">
        <f t="shared" si="16"/>
        <v>0</v>
      </c>
      <c r="T42" s="108">
        <f t="shared" si="16"/>
        <v>0</v>
      </c>
      <c r="U42" s="92"/>
      <c r="W42">
        <f t="shared" si="20"/>
        <v>2043</v>
      </c>
      <c r="X42" t="str">
        <f t="shared" si="21"/>
        <v>N+25</v>
      </c>
      <c r="Y42">
        <f>IF(COUNTIF($Y$26:Y41,"&gt;"&amp;0)&lt;($B$6-4),Y41+1,0)</f>
        <v>25</v>
      </c>
      <c r="Z42" s="6">
        <f t="shared" si="22"/>
        <v>1</v>
      </c>
      <c r="AB42" s="5">
        <f t="shared" si="23"/>
        <v>2048</v>
      </c>
      <c r="AC42" s="5" t="s">
        <v>125</v>
      </c>
      <c r="AD42" s="5">
        <f t="shared" si="24"/>
        <v>30</v>
      </c>
      <c r="AE42" s="115">
        <f t="shared" si="3"/>
        <v>1</v>
      </c>
      <c r="AG42" s="5">
        <f t="shared" si="18"/>
        <v>2048</v>
      </c>
      <c r="AH42" s="5" t="s">
        <v>125</v>
      </c>
      <c r="AI42" s="5">
        <f t="shared" si="19"/>
        <v>30</v>
      </c>
      <c r="AJ42" s="119">
        <f t="shared" si="1"/>
        <v>1</v>
      </c>
    </row>
    <row r="43" spans="1:36" x14ac:dyDescent="0.3">
      <c r="A43" s="89" t="s">
        <v>168</v>
      </c>
      <c r="B43" s="102">
        <v>0</v>
      </c>
      <c r="C43" s="99">
        <f t="shared" si="17"/>
        <v>0</v>
      </c>
      <c r="D43" s="99">
        <f t="shared" si="17"/>
        <v>0</v>
      </c>
      <c r="E43" s="99">
        <f t="shared" si="17"/>
        <v>0</v>
      </c>
      <c r="F43" s="99">
        <f t="shared" si="17"/>
        <v>0</v>
      </c>
      <c r="G43" s="99">
        <f t="shared" si="17"/>
        <v>0</v>
      </c>
      <c r="H43" s="99">
        <f t="shared" si="17"/>
        <v>0</v>
      </c>
      <c r="I43" s="99">
        <f t="shared" si="17"/>
        <v>0</v>
      </c>
      <c r="J43" s="114">
        <f t="shared" si="25"/>
        <v>0</v>
      </c>
      <c r="L43" s="89" t="s">
        <v>168</v>
      </c>
      <c r="M43" s="106">
        <v>0</v>
      </c>
      <c r="N43" s="107">
        <f t="shared" si="16"/>
        <v>0</v>
      </c>
      <c r="O43" s="107">
        <f t="shared" si="16"/>
        <v>0</v>
      </c>
      <c r="P43" s="107">
        <f t="shared" si="16"/>
        <v>0</v>
      </c>
      <c r="Q43" s="107">
        <f t="shared" si="16"/>
        <v>0</v>
      </c>
      <c r="R43" s="107">
        <f t="shared" si="16"/>
        <v>0</v>
      </c>
      <c r="S43" s="107">
        <f t="shared" si="16"/>
        <v>0</v>
      </c>
      <c r="T43" s="108">
        <f t="shared" si="16"/>
        <v>0</v>
      </c>
      <c r="W43">
        <f t="shared" si="20"/>
        <v>2044</v>
      </c>
      <c r="X43" t="str">
        <f t="shared" si="21"/>
        <v>N+26</v>
      </c>
      <c r="Y43">
        <f>IF(COUNTIF($Y$26:Y42,"&gt;"&amp;0)&lt;($B$6-4),Y42+1,0)</f>
        <v>26</v>
      </c>
      <c r="Z43" s="6">
        <f t="shared" si="22"/>
        <v>1</v>
      </c>
      <c r="AB43" s="140">
        <f t="shared" si="23"/>
        <v>2049</v>
      </c>
      <c r="AC43" s="140" t="s">
        <v>168</v>
      </c>
      <c r="AD43" s="140">
        <f t="shared" si="24"/>
        <v>31</v>
      </c>
      <c r="AE43" s="115">
        <f t="shared" si="3"/>
        <v>1</v>
      </c>
      <c r="AG43" s="140">
        <f t="shared" si="18"/>
        <v>2049</v>
      </c>
      <c r="AH43" s="140" t="s">
        <v>168</v>
      </c>
      <c r="AI43" s="140">
        <f t="shared" si="19"/>
        <v>31</v>
      </c>
      <c r="AJ43" s="119">
        <f>INDEX($M$12:$AE$49,MATCH($AH43,$L$12:$L$49,0),MATCH($AH$10,$M$11:$AE$11,0))</f>
        <v>1</v>
      </c>
    </row>
    <row r="44" spans="1:36" x14ac:dyDescent="0.3">
      <c r="A44" s="89" t="s">
        <v>169</v>
      </c>
      <c r="B44" s="102">
        <v>0</v>
      </c>
      <c r="C44" s="99">
        <f t="shared" si="17"/>
        <v>0</v>
      </c>
      <c r="D44" s="99">
        <f t="shared" si="17"/>
        <v>0</v>
      </c>
      <c r="E44" s="99">
        <f t="shared" si="17"/>
        <v>0</v>
      </c>
      <c r="F44" s="99">
        <f t="shared" si="17"/>
        <v>0</v>
      </c>
      <c r="G44" s="99">
        <f t="shared" si="17"/>
        <v>0</v>
      </c>
      <c r="H44" s="99">
        <f t="shared" si="17"/>
        <v>0</v>
      </c>
      <c r="I44" s="99">
        <f t="shared" si="17"/>
        <v>0</v>
      </c>
      <c r="J44" s="114">
        <f t="shared" si="25"/>
        <v>0</v>
      </c>
      <c r="L44" s="89" t="s">
        <v>169</v>
      </c>
      <c r="M44" s="106">
        <v>0</v>
      </c>
      <c r="N44" s="107">
        <f t="shared" si="16"/>
        <v>0</v>
      </c>
      <c r="O44" s="107">
        <f t="shared" si="16"/>
        <v>0</v>
      </c>
      <c r="P44" s="107">
        <f t="shared" si="16"/>
        <v>0</v>
      </c>
      <c r="Q44" s="107">
        <f t="shared" si="16"/>
        <v>0</v>
      </c>
      <c r="R44" s="107">
        <f t="shared" si="16"/>
        <v>0</v>
      </c>
      <c r="S44" s="107">
        <f t="shared" si="16"/>
        <v>0</v>
      </c>
      <c r="T44" s="108">
        <f t="shared" si="16"/>
        <v>0</v>
      </c>
      <c r="W44">
        <f t="shared" si="20"/>
        <v>2045</v>
      </c>
      <c r="X44" t="str">
        <f t="shared" si="21"/>
        <v>N+27</v>
      </c>
      <c r="Y44">
        <f>IF(COUNTIF($Y$26:Y43,"&gt;"&amp;0)&lt;($B$6-4),Y43+1,0)</f>
        <v>27</v>
      </c>
      <c r="Z44" s="6">
        <f t="shared" si="22"/>
        <v>1</v>
      </c>
      <c r="AB44" s="140">
        <f t="shared" si="23"/>
        <v>2050</v>
      </c>
      <c r="AC44" s="140" t="s">
        <v>169</v>
      </c>
      <c r="AD44" s="140">
        <f t="shared" si="24"/>
        <v>32</v>
      </c>
      <c r="AE44" s="115">
        <f t="shared" si="3"/>
        <v>1</v>
      </c>
      <c r="AG44" s="140">
        <f t="shared" si="18"/>
        <v>2050</v>
      </c>
      <c r="AH44" s="140" t="s">
        <v>169</v>
      </c>
      <c r="AI44" s="140">
        <f t="shared" si="19"/>
        <v>32</v>
      </c>
      <c r="AJ44" s="119">
        <f>INDEX($M$12:$AE$49,MATCH($AH44,$L$12:$L$49,0),MATCH($AH$10,$M$11:$AE$11,0))</f>
        <v>1</v>
      </c>
    </row>
    <row r="45" spans="1:36" x14ac:dyDescent="0.3">
      <c r="A45" s="89" t="s">
        <v>170</v>
      </c>
      <c r="L45" s="89" t="s">
        <v>170</v>
      </c>
      <c r="W45">
        <f t="shared" si="20"/>
        <v>2046</v>
      </c>
      <c r="X45" t="str">
        <f t="shared" si="21"/>
        <v>N+28</v>
      </c>
      <c r="Y45">
        <f>IF(COUNTIF($Y$26:Y44,"&gt;"&amp;0)&lt;($B$6-4),Y44+1,0)</f>
        <v>28</v>
      </c>
      <c r="Z45" s="6">
        <f t="shared" si="22"/>
        <v>1</v>
      </c>
      <c r="AB45" s="140">
        <f t="shared" si="23"/>
        <v>2051</v>
      </c>
      <c r="AC45" s="140" t="s">
        <v>170</v>
      </c>
      <c r="AD45" s="140">
        <f t="shared" si="24"/>
        <v>33</v>
      </c>
      <c r="AE45" s="115">
        <f t="shared" si="3"/>
        <v>1</v>
      </c>
      <c r="AG45" s="140">
        <f t="shared" si="18"/>
        <v>2051</v>
      </c>
      <c r="AH45" s="140" t="s">
        <v>170</v>
      </c>
      <c r="AI45" s="140">
        <f t="shared" si="19"/>
        <v>33</v>
      </c>
      <c r="AJ45" s="119">
        <f>INDEX($M$12:$AE$49,MATCH($AH45,$L$12:$L$49,0),MATCH($AH$10,$M$11:$AE$11,0))</f>
        <v>1</v>
      </c>
    </row>
    <row r="46" spans="1:36" x14ac:dyDescent="0.3">
      <c r="A46" s="89" t="s">
        <v>171</v>
      </c>
      <c r="L46" s="89" t="s">
        <v>171</v>
      </c>
      <c r="W46">
        <f t="shared" si="20"/>
        <v>2047</v>
      </c>
      <c r="X46" t="str">
        <f t="shared" si="21"/>
        <v>N+29</v>
      </c>
      <c r="Y46">
        <f>IF(COUNTIF($Y$26:Y45,"&gt;"&amp;0)&lt;($B$6-4),Y45+1,0)</f>
        <v>29</v>
      </c>
      <c r="Z46" s="6">
        <f t="shared" si="22"/>
        <v>1</v>
      </c>
      <c r="AB46" s="140">
        <f t="shared" si="23"/>
        <v>2052</v>
      </c>
      <c r="AC46" s="140" t="s">
        <v>171</v>
      </c>
      <c r="AD46" s="140">
        <f t="shared" si="24"/>
        <v>34</v>
      </c>
      <c r="AE46" s="115">
        <f t="shared" si="3"/>
        <v>1</v>
      </c>
      <c r="AG46" s="140">
        <f t="shared" si="18"/>
        <v>2052</v>
      </c>
      <c r="AH46" s="140" t="s">
        <v>171</v>
      </c>
      <c r="AI46" s="140">
        <f t="shared" si="19"/>
        <v>34</v>
      </c>
      <c r="AJ46" s="119">
        <f>INDEX($M$12:$AE$49,MATCH($AH46,$L$12:$L$49,0),MATCH($AH$10,$M$11:$AE$11,0))</f>
        <v>1</v>
      </c>
    </row>
    <row r="47" spans="1:36" x14ac:dyDescent="0.3">
      <c r="A47" s="89" t="s">
        <v>172</v>
      </c>
      <c r="L47" s="89" t="s">
        <v>172</v>
      </c>
      <c r="W47">
        <f t="shared" si="20"/>
        <v>2048</v>
      </c>
      <c r="X47" t="str">
        <f t="shared" si="21"/>
        <v>N+30</v>
      </c>
      <c r="Y47">
        <f>IF(COUNTIF($Y$26:Y46,"&gt;"&amp;0)&lt;($B$6-4),Y46+1,0)</f>
        <v>30</v>
      </c>
      <c r="Z47" s="6">
        <f t="shared" si="22"/>
        <v>1</v>
      </c>
    </row>
    <row r="48" spans="1:36" x14ac:dyDescent="0.3">
      <c r="W48">
        <f t="shared" si="20"/>
        <v>2049</v>
      </c>
      <c r="X48" t="str">
        <f t="shared" si="21"/>
        <v>N+31</v>
      </c>
      <c r="Y48">
        <f>IF(COUNTIF($Y$26:Y47,"&gt;"&amp;0)&lt;($B$6-4),Y47+1,0)</f>
        <v>31</v>
      </c>
      <c r="Z48" s="6">
        <f t="shared" si="22"/>
        <v>1</v>
      </c>
    </row>
    <row r="49" spans="23:26" x14ac:dyDescent="0.3">
      <c r="W49">
        <f t="shared" si="20"/>
        <v>2050</v>
      </c>
      <c r="X49" t="str">
        <f t="shared" si="21"/>
        <v>N+32</v>
      </c>
      <c r="Y49">
        <f>IF(COUNTIF($Y$26:Y48,"&gt;"&amp;0)&lt;($B$6-4),Y48+1,0)</f>
        <v>32</v>
      </c>
      <c r="Z49" s="6">
        <f t="shared" si="22"/>
        <v>1</v>
      </c>
    </row>
    <row r="50" spans="23:26" x14ac:dyDescent="0.3">
      <c r="W50">
        <f t="shared" si="20"/>
        <v>2051</v>
      </c>
      <c r="X50" t="str">
        <f t="shared" si="21"/>
        <v>N+33</v>
      </c>
      <c r="Y50">
        <f>IF(COUNTIF($Y$26:Y49,"&gt;"&amp;0)&lt;($B$6-4),Y49+1,0)</f>
        <v>33</v>
      </c>
      <c r="Z50" s="6">
        <f t="shared" si="22"/>
        <v>1</v>
      </c>
    </row>
    <row r="51" spans="23:26" x14ac:dyDescent="0.3">
      <c r="W51">
        <f t="shared" si="20"/>
        <v>2052</v>
      </c>
      <c r="X51" t="str">
        <f t="shared" si="21"/>
        <v>N+34</v>
      </c>
      <c r="Y51">
        <f>IF(COUNTIF($Y$26:Y50,"&gt;"&amp;0)&lt;($B$6-4),Y50+1,0)</f>
        <v>34</v>
      </c>
      <c r="Z51" s="6">
        <f t="shared" si="22"/>
        <v>1</v>
      </c>
    </row>
    <row r="52" spans="23:26" x14ac:dyDescent="0.3">
      <c r="W52">
        <f t="shared" si="20"/>
        <v>0</v>
      </c>
      <c r="X52" t="str">
        <f t="shared" si="21"/>
        <v>N+0</v>
      </c>
      <c r="Y52">
        <f>IF(COUNTIF($Y$26:Y51,"&gt;"&amp;0)&lt;($B$6-4),Y51+1,0)</f>
        <v>0</v>
      </c>
      <c r="Z52" s="6">
        <f t="shared" si="22"/>
        <v>0</v>
      </c>
    </row>
    <row r="53" spans="23:26" x14ac:dyDescent="0.3">
      <c r="W53">
        <f t="shared" si="20"/>
        <v>0</v>
      </c>
      <c r="X53" t="str">
        <f t="shared" si="21"/>
        <v>N+0</v>
      </c>
      <c r="Y53">
        <f>IF(COUNTIF($Y$26:Y52,"&gt;"&amp;0)&lt;($B$6-4),Y52+1,0)</f>
        <v>0</v>
      </c>
      <c r="Z53" s="6">
        <f t="shared" si="22"/>
        <v>0</v>
      </c>
    </row>
    <row r="54" spans="23:26" x14ac:dyDescent="0.3">
      <c r="W54">
        <f t="shared" si="20"/>
        <v>0</v>
      </c>
      <c r="X54" t="str">
        <f t="shared" si="21"/>
        <v>N+0</v>
      </c>
      <c r="Y54">
        <f>IF(COUNTIF($Y$26:Y53,"&gt;"&amp;0)&lt;($B$6-4),Y53+1,0)</f>
        <v>0</v>
      </c>
      <c r="Z54" s="6">
        <f t="shared" si="22"/>
        <v>0</v>
      </c>
    </row>
    <row r="55" spans="23:26" x14ac:dyDescent="0.3">
      <c r="W55">
        <f t="shared" si="20"/>
        <v>0</v>
      </c>
      <c r="X55" t="str">
        <f t="shared" si="21"/>
        <v>N+0</v>
      </c>
      <c r="Y55">
        <f>IF(COUNTIF($Y$26:Y54,"&gt;"&amp;0)&lt;($B$6-4),Y54+1,0)</f>
        <v>0</v>
      </c>
      <c r="Z55" s="6">
        <f t="shared" si="22"/>
        <v>0</v>
      </c>
    </row>
    <row r="56" spans="23:26" x14ac:dyDescent="0.3">
      <c r="W56">
        <f t="shared" si="20"/>
        <v>0</v>
      </c>
      <c r="X56" t="str">
        <f t="shared" si="21"/>
        <v>N+0</v>
      </c>
      <c r="Y56">
        <f>IF(COUNTIF($Y$26:Y55,"&gt;"&amp;0)&lt;($B$6-4),Y55+1,0)</f>
        <v>0</v>
      </c>
      <c r="Z56" s="6">
        <f t="shared" si="22"/>
        <v>0</v>
      </c>
    </row>
  </sheetData>
  <mergeCells count="2">
    <mergeCell ref="B10:I10"/>
    <mergeCell ref="M10:T10"/>
  </mergeCells>
  <conditionalFormatting sqref="B17:I32">
    <cfRule type="cellIs" dxfId="27" priority="30" operator="greaterThan">
      <formula>0</formula>
    </cfRule>
  </conditionalFormatting>
  <conditionalFormatting sqref="C12:I12">
    <cfRule type="cellIs" dxfId="26" priority="29" operator="greaterThan">
      <formula>0</formula>
    </cfRule>
  </conditionalFormatting>
  <conditionalFormatting sqref="C13:I13">
    <cfRule type="cellIs" dxfId="25" priority="28" operator="greaterThan">
      <formula>0</formula>
    </cfRule>
  </conditionalFormatting>
  <conditionalFormatting sqref="C14:I14">
    <cfRule type="cellIs" dxfId="24" priority="27" operator="greaterThan">
      <formula>0</formula>
    </cfRule>
  </conditionalFormatting>
  <conditionalFormatting sqref="C15:I15">
    <cfRule type="cellIs" dxfId="23" priority="26" operator="greaterThan">
      <formula>0</formula>
    </cfRule>
  </conditionalFormatting>
  <conditionalFormatting sqref="C16:I16">
    <cfRule type="cellIs" dxfId="22" priority="25" operator="greaterThan">
      <formula>0</formula>
    </cfRule>
  </conditionalFormatting>
  <conditionalFormatting sqref="N12:T12">
    <cfRule type="cellIs" dxfId="21" priority="24" operator="greaterThan">
      <formula>0</formula>
    </cfRule>
  </conditionalFormatting>
  <conditionalFormatting sqref="N13:T13">
    <cfRule type="cellIs" dxfId="20" priority="23" operator="greaterThan">
      <formula>0</formula>
    </cfRule>
  </conditionalFormatting>
  <conditionalFormatting sqref="N14:T14">
    <cfRule type="cellIs" dxfId="19" priority="22" operator="greaterThan">
      <formula>0</formula>
    </cfRule>
  </conditionalFormatting>
  <conditionalFormatting sqref="N15:T15">
    <cfRule type="cellIs" dxfId="18" priority="21" operator="greaterThan">
      <formula>0</formula>
    </cfRule>
  </conditionalFormatting>
  <conditionalFormatting sqref="N16:T16">
    <cfRule type="cellIs" dxfId="17" priority="20" operator="greaterThan">
      <formula>0</formula>
    </cfRule>
  </conditionalFormatting>
  <conditionalFormatting sqref="B33:I33">
    <cfRule type="cellIs" dxfId="16" priority="19" operator="greaterThan">
      <formula>0</formula>
    </cfRule>
  </conditionalFormatting>
  <conditionalFormatting sqref="B34:I34">
    <cfRule type="cellIs" dxfId="15" priority="18" operator="greaterThan">
      <formula>0</formula>
    </cfRule>
  </conditionalFormatting>
  <conditionalFormatting sqref="B35:I35">
    <cfRule type="cellIs" dxfId="14" priority="17" operator="greaterThan">
      <formula>0</formula>
    </cfRule>
  </conditionalFormatting>
  <conditionalFormatting sqref="B36:I36">
    <cfRule type="cellIs" dxfId="13" priority="16" operator="greaterThan">
      <formula>0</formula>
    </cfRule>
  </conditionalFormatting>
  <conditionalFormatting sqref="B37:I37">
    <cfRule type="cellIs" dxfId="12" priority="15" operator="greaterThan">
      <formula>0</formula>
    </cfRule>
  </conditionalFormatting>
  <conditionalFormatting sqref="B38:I38">
    <cfRule type="cellIs" dxfId="11" priority="14" operator="greaterThan">
      <formula>0</formula>
    </cfRule>
  </conditionalFormatting>
  <conditionalFormatting sqref="B39:I39">
    <cfRule type="cellIs" dxfId="10" priority="13" operator="greaterThan">
      <formula>0</formula>
    </cfRule>
  </conditionalFormatting>
  <conditionalFormatting sqref="B40:I40">
    <cfRule type="cellIs" dxfId="9" priority="12" operator="greaterThan">
      <formula>0</formula>
    </cfRule>
  </conditionalFormatting>
  <conditionalFormatting sqref="B41:I44">
    <cfRule type="cellIs" dxfId="8" priority="11" operator="greaterThan">
      <formula>0</formula>
    </cfRule>
  </conditionalFormatting>
  <conditionalFormatting sqref="M34:T34">
    <cfRule type="cellIs" dxfId="7" priority="9" operator="greaterThan">
      <formula>0</formula>
    </cfRule>
  </conditionalFormatting>
  <conditionalFormatting sqref="M35:T35">
    <cfRule type="cellIs" dxfId="6" priority="8" operator="greaterThan">
      <formula>0</formula>
    </cfRule>
  </conditionalFormatting>
  <conditionalFormatting sqref="M36:T36">
    <cfRule type="cellIs" dxfId="5" priority="7" operator="greaterThan">
      <formula>0</formula>
    </cfRule>
  </conditionalFormatting>
  <conditionalFormatting sqref="M37:T37">
    <cfRule type="cellIs" dxfId="4" priority="6" operator="greaterThan">
      <formula>0</formula>
    </cfRule>
  </conditionalFormatting>
  <conditionalFormatting sqref="M38:T38">
    <cfRule type="cellIs" dxfId="3" priority="5" operator="greaterThan">
      <formula>0</formula>
    </cfRule>
  </conditionalFormatting>
  <conditionalFormatting sqref="M39:T39">
    <cfRule type="cellIs" dxfId="2" priority="4" operator="greaterThan">
      <formula>0</formula>
    </cfRule>
  </conditionalFormatting>
  <conditionalFormatting sqref="M40:T40">
    <cfRule type="cellIs" dxfId="1" priority="3" operator="greaterThan">
      <formula>0</formula>
    </cfRule>
  </conditionalFormatting>
  <conditionalFormatting sqref="M41:T44">
    <cfRule type="cellIs" dxfId="0" priority="2" operator="greaterThan">
      <formula>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O25"/>
  <sheetViews>
    <sheetView workbookViewId="0">
      <selection activeCell="Q30" sqref="Q30"/>
    </sheetView>
  </sheetViews>
  <sheetFormatPr defaultRowHeight="14.4" x14ac:dyDescent="0.3"/>
  <cols>
    <col min="9" max="9" width="2.44140625" customWidth="1"/>
  </cols>
  <sheetData>
    <row r="1" spans="1:15" ht="23.4" x14ac:dyDescent="0.45">
      <c r="A1" s="80" t="s">
        <v>197</v>
      </c>
    </row>
    <row r="2" spans="1:15" x14ac:dyDescent="0.3">
      <c r="A2" s="8" t="s">
        <v>203</v>
      </c>
    </row>
    <row r="5" spans="1:15" ht="15" thickBot="1" x14ac:dyDescent="0.35"/>
    <row r="6" spans="1:15" x14ac:dyDescent="0.3">
      <c r="A6" s="154"/>
      <c r="B6" s="269" t="s">
        <v>66</v>
      </c>
      <c r="C6" s="269"/>
      <c r="D6" s="269"/>
      <c r="E6" s="269"/>
      <c r="F6" s="269"/>
      <c r="G6" s="269"/>
      <c r="H6" s="269"/>
      <c r="J6" s="269" t="s">
        <v>67</v>
      </c>
      <c r="K6" s="269"/>
      <c r="L6" s="269"/>
      <c r="M6" s="269"/>
      <c r="N6" s="269"/>
      <c r="O6" s="269"/>
    </row>
    <row r="7" spans="1:15" ht="15" thickBot="1" x14ac:dyDescent="0.35">
      <c r="A7" s="155" t="s">
        <v>1</v>
      </c>
      <c r="B7" s="156" t="s">
        <v>175</v>
      </c>
      <c r="C7" s="156" t="s">
        <v>34</v>
      </c>
      <c r="D7" s="156" t="s">
        <v>31</v>
      </c>
      <c r="E7" s="156" t="s">
        <v>36</v>
      </c>
      <c r="F7" s="156" t="s">
        <v>32</v>
      </c>
      <c r="G7" s="156" t="s">
        <v>35</v>
      </c>
      <c r="H7" s="156" t="s">
        <v>33</v>
      </c>
      <c r="J7" s="156" t="s">
        <v>34</v>
      </c>
      <c r="K7" s="156" t="s">
        <v>31</v>
      </c>
      <c r="L7" s="156" t="s">
        <v>36</v>
      </c>
      <c r="M7" s="156" t="s">
        <v>32</v>
      </c>
      <c r="N7" s="156" t="s">
        <v>35</v>
      </c>
      <c r="O7" s="156" t="s">
        <v>33</v>
      </c>
    </row>
    <row r="8" spans="1:15" ht="15" thickTop="1" x14ac:dyDescent="0.3">
      <c r="A8" s="157">
        <v>2018</v>
      </c>
      <c r="B8" s="158">
        <v>569.70000000000005</v>
      </c>
      <c r="C8" s="158">
        <v>137.6</v>
      </c>
      <c r="D8" s="158">
        <v>45.9</v>
      </c>
      <c r="E8" s="158">
        <v>280.39999999999998</v>
      </c>
      <c r="F8" s="158">
        <v>57.2</v>
      </c>
      <c r="G8" s="158">
        <v>11.7</v>
      </c>
      <c r="H8" s="158">
        <v>5.6</v>
      </c>
      <c r="J8" s="158">
        <v>432.2</v>
      </c>
      <c r="K8" s="158">
        <v>523.79999999999995</v>
      </c>
      <c r="L8" s="158">
        <v>289.39999999999998</v>
      </c>
      <c r="M8" s="158">
        <v>512.5</v>
      </c>
      <c r="N8" s="158">
        <v>558.1</v>
      </c>
      <c r="O8" s="158">
        <v>564.20000000000005</v>
      </c>
    </row>
    <row r="9" spans="1:15" x14ac:dyDescent="0.3">
      <c r="A9" s="157">
        <v>2019</v>
      </c>
      <c r="B9" s="158">
        <v>368.7</v>
      </c>
      <c r="C9" s="158">
        <v>88.3</v>
      </c>
      <c r="D9" s="158">
        <v>29.7</v>
      </c>
      <c r="E9" s="158">
        <v>182.1</v>
      </c>
      <c r="F9" s="158">
        <v>37.200000000000003</v>
      </c>
      <c r="G9" s="158">
        <v>7.2</v>
      </c>
      <c r="H9" s="158">
        <v>3.4</v>
      </c>
      <c r="J9" s="158">
        <v>280.39999999999998</v>
      </c>
      <c r="K9" s="158">
        <v>339</v>
      </c>
      <c r="L9" s="158">
        <v>186.6</v>
      </c>
      <c r="M9" s="158">
        <v>331.4</v>
      </c>
      <c r="N9" s="158">
        <v>361.5</v>
      </c>
      <c r="O9" s="158">
        <v>365.3</v>
      </c>
    </row>
    <row r="10" spans="1:15" x14ac:dyDescent="0.3">
      <c r="A10" s="157">
        <v>2020</v>
      </c>
      <c r="B10" s="158">
        <v>565.1</v>
      </c>
      <c r="C10" s="158">
        <v>135.69999999999999</v>
      </c>
      <c r="D10" s="158">
        <v>45.3</v>
      </c>
      <c r="E10" s="158">
        <v>279.3</v>
      </c>
      <c r="F10" s="158">
        <v>56.9</v>
      </c>
      <c r="G10" s="158">
        <v>11.2</v>
      </c>
      <c r="H10" s="158">
        <v>5.3</v>
      </c>
      <c r="J10" s="158">
        <v>429.4</v>
      </c>
      <c r="K10" s="158">
        <v>519.79999999999995</v>
      </c>
      <c r="L10" s="158">
        <v>285.8</v>
      </c>
      <c r="M10" s="158">
        <v>508.2</v>
      </c>
      <c r="N10" s="158">
        <v>553.9</v>
      </c>
      <c r="O10" s="158">
        <v>559.9</v>
      </c>
    </row>
    <row r="11" spans="1:15" x14ac:dyDescent="0.3">
      <c r="A11" s="157">
        <v>2021</v>
      </c>
      <c r="B11" s="158">
        <v>122</v>
      </c>
      <c r="C11" s="158">
        <v>29.2</v>
      </c>
      <c r="D11" s="158">
        <v>9.8000000000000007</v>
      </c>
      <c r="E11" s="158">
        <v>60.4</v>
      </c>
      <c r="F11" s="158">
        <v>12.3</v>
      </c>
      <c r="G11" s="158">
        <v>2.7</v>
      </c>
      <c r="H11" s="158">
        <v>1.3</v>
      </c>
      <c r="J11" s="158">
        <v>92.9</v>
      </c>
      <c r="K11" s="158">
        <v>112.2</v>
      </c>
      <c r="L11" s="158">
        <v>61.6</v>
      </c>
      <c r="M11" s="158">
        <v>109.7</v>
      </c>
      <c r="N11" s="158">
        <v>119.3</v>
      </c>
      <c r="O11" s="158">
        <v>120.7</v>
      </c>
    </row>
    <row r="12" spans="1:15" x14ac:dyDescent="0.3">
      <c r="A12" s="157">
        <v>2022</v>
      </c>
      <c r="B12" s="158">
        <v>123.6</v>
      </c>
      <c r="C12" s="158">
        <v>29.4</v>
      </c>
      <c r="D12" s="158">
        <v>9.9</v>
      </c>
      <c r="E12" s="158">
        <v>61.2</v>
      </c>
      <c r="F12" s="158">
        <v>12.4</v>
      </c>
      <c r="G12" s="158">
        <v>3</v>
      </c>
      <c r="H12" s="158">
        <v>1.4</v>
      </c>
      <c r="J12" s="158">
        <v>94.2</v>
      </c>
      <c r="K12" s="158">
        <v>113.7</v>
      </c>
      <c r="L12" s="158">
        <v>62.4</v>
      </c>
      <c r="M12" s="158">
        <v>111.2</v>
      </c>
      <c r="N12" s="158">
        <v>120.6</v>
      </c>
      <c r="O12" s="158">
        <v>122.2</v>
      </c>
    </row>
    <row r="13" spans="1:15" x14ac:dyDescent="0.3">
      <c r="A13" s="157">
        <v>2023</v>
      </c>
      <c r="B13" s="158">
        <v>124.4</v>
      </c>
      <c r="C13" s="158">
        <v>29.5</v>
      </c>
      <c r="D13" s="158">
        <v>10</v>
      </c>
      <c r="E13" s="158">
        <v>61.7</v>
      </c>
      <c r="F13" s="158">
        <v>12.5</v>
      </c>
      <c r="G13" s="158">
        <v>3</v>
      </c>
      <c r="H13" s="158">
        <v>1.4</v>
      </c>
      <c r="J13" s="158">
        <v>94.9</v>
      </c>
      <c r="K13" s="158">
        <v>114.4</v>
      </c>
      <c r="L13" s="158">
        <v>62.7</v>
      </c>
      <c r="M13" s="158">
        <v>111.9</v>
      </c>
      <c r="N13" s="158">
        <v>121.4</v>
      </c>
      <c r="O13" s="158">
        <v>123</v>
      </c>
    </row>
    <row r="14" spans="1:15" x14ac:dyDescent="0.3">
      <c r="A14" s="157">
        <v>2024</v>
      </c>
      <c r="B14" s="158">
        <v>126.3</v>
      </c>
      <c r="C14" s="158">
        <v>29.8</v>
      </c>
      <c r="D14" s="158">
        <v>10.1</v>
      </c>
      <c r="E14" s="158">
        <v>62.7</v>
      </c>
      <c r="F14" s="158">
        <v>12.7</v>
      </c>
      <c r="G14" s="158">
        <v>3.1</v>
      </c>
      <c r="H14" s="158">
        <v>1.4</v>
      </c>
      <c r="J14" s="158">
        <v>96.5</v>
      </c>
      <c r="K14" s="158">
        <v>116.1</v>
      </c>
      <c r="L14" s="158">
        <v>63.5</v>
      </c>
      <c r="M14" s="158">
        <v>113.5</v>
      </c>
      <c r="N14" s="158">
        <v>123.2</v>
      </c>
      <c r="O14" s="158">
        <v>124.9</v>
      </c>
    </row>
    <row r="15" spans="1:15" x14ac:dyDescent="0.3">
      <c r="A15" s="157">
        <v>2025</v>
      </c>
      <c r="B15" s="158">
        <v>1618</v>
      </c>
      <c r="C15" s="158">
        <v>382.3</v>
      </c>
      <c r="D15" s="158">
        <v>129.69999999999999</v>
      </c>
      <c r="E15" s="158">
        <v>803.9</v>
      </c>
      <c r="F15" s="158">
        <v>162.69999999999999</v>
      </c>
      <c r="G15" s="158">
        <v>39.299999999999997</v>
      </c>
      <c r="H15" s="158">
        <v>17.8</v>
      </c>
      <c r="J15" s="158">
        <v>1235.7</v>
      </c>
      <c r="K15" s="158">
        <v>1488.3</v>
      </c>
      <c r="L15" s="158">
        <v>814</v>
      </c>
      <c r="M15" s="158">
        <v>1455.3</v>
      </c>
      <c r="N15" s="158">
        <v>1578.6</v>
      </c>
      <c r="O15" s="158">
        <v>1600.2</v>
      </c>
    </row>
    <row r="16" spans="1:15" x14ac:dyDescent="0.3">
      <c r="A16" s="157">
        <v>2026</v>
      </c>
      <c r="B16" s="158">
        <v>1733.8</v>
      </c>
      <c r="C16" s="158">
        <v>407.9</v>
      </c>
      <c r="D16" s="158">
        <v>138.9</v>
      </c>
      <c r="E16" s="158">
        <v>863.3</v>
      </c>
      <c r="F16" s="158">
        <v>174.2</v>
      </c>
      <c r="G16" s="158">
        <v>42.5</v>
      </c>
      <c r="H16" s="158">
        <v>19</v>
      </c>
      <c r="J16" s="158">
        <v>1325.9</v>
      </c>
      <c r="K16" s="158">
        <v>1594.9</v>
      </c>
      <c r="L16" s="158">
        <v>870.5</v>
      </c>
      <c r="M16" s="158">
        <v>1559.6</v>
      </c>
      <c r="N16" s="158">
        <v>1691.4</v>
      </c>
      <c r="O16" s="158">
        <v>1714.8</v>
      </c>
    </row>
    <row r="17" spans="1:15" x14ac:dyDescent="0.3">
      <c r="A17" s="157">
        <v>2027</v>
      </c>
      <c r="B17" s="158">
        <v>1832</v>
      </c>
      <c r="C17" s="158">
        <v>431.1</v>
      </c>
      <c r="D17" s="158">
        <v>146.80000000000001</v>
      </c>
      <c r="E17" s="158">
        <v>912.2</v>
      </c>
      <c r="F17" s="158">
        <v>184.1</v>
      </c>
      <c r="G17" s="158">
        <v>44.9</v>
      </c>
      <c r="H17" s="158">
        <v>20.100000000000001</v>
      </c>
      <c r="J17" s="158">
        <v>1401</v>
      </c>
      <c r="K17" s="158">
        <v>1685.2</v>
      </c>
      <c r="L17" s="158">
        <v>919.8</v>
      </c>
      <c r="M17" s="158">
        <v>1647.9</v>
      </c>
      <c r="N17" s="158">
        <v>1787.2</v>
      </c>
      <c r="O17" s="158">
        <v>1811.9</v>
      </c>
    </row>
    <row r="18" spans="1:15" x14ac:dyDescent="0.3">
      <c r="A18" s="157">
        <v>2028</v>
      </c>
      <c r="B18" s="158">
        <v>1928.5</v>
      </c>
      <c r="C18" s="158">
        <v>453.7</v>
      </c>
      <c r="D18" s="158">
        <v>154.5</v>
      </c>
      <c r="E18" s="158">
        <v>960.2</v>
      </c>
      <c r="F18" s="158">
        <v>193.8</v>
      </c>
      <c r="G18" s="158">
        <v>47.2</v>
      </c>
      <c r="H18" s="158">
        <v>21.2</v>
      </c>
      <c r="J18" s="158">
        <v>1474.7</v>
      </c>
      <c r="K18" s="158">
        <v>1773.9</v>
      </c>
      <c r="L18" s="158">
        <v>968.3</v>
      </c>
      <c r="M18" s="158">
        <v>1734.7</v>
      </c>
      <c r="N18" s="158">
        <v>1881.2</v>
      </c>
      <c r="O18" s="158">
        <v>1907.3</v>
      </c>
    </row>
    <row r="19" spans="1:15" x14ac:dyDescent="0.3">
      <c r="A19" s="157">
        <v>2029</v>
      </c>
      <c r="B19" s="158">
        <v>2055.1999999999998</v>
      </c>
      <c r="C19" s="158">
        <v>483.5</v>
      </c>
      <c r="D19" s="158">
        <v>164.7</v>
      </c>
      <c r="E19" s="158">
        <v>1023.3</v>
      </c>
      <c r="F19" s="158">
        <v>206.5</v>
      </c>
      <c r="G19" s="158">
        <v>50.3</v>
      </c>
      <c r="H19" s="158">
        <v>22.6</v>
      </c>
      <c r="J19" s="158">
        <v>1571.6</v>
      </c>
      <c r="K19" s="158">
        <v>1890.5</v>
      </c>
      <c r="L19" s="158">
        <v>1031.9000000000001</v>
      </c>
      <c r="M19" s="158">
        <v>1848.6</v>
      </c>
      <c r="N19" s="158">
        <v>2004.8</v>
      </c>
      <c r="O19" s="158">
        <v>2032.6</v>
      </c>
    </row>
    <row r="20" spans="1:15" x14ac:dyDescent="0.3">
      <c r="A20" s="157">
        <v>2030</v>
      </c>
      <c r="B20" s="158">
        <v>1832</v>
      </c>
      <c r="C20" s="158">
        <v>431.1</v>
      </c>
      <c r="D20" s="158">
        <v>146.80000000000001</v>
      </c>
      <c r="E20" s="158">
        <v>912.2</v>
      </c>
      <c r="F20" s="158">
        <v>184.1</v>
      </c>
      <c r="G20" s="158">
        <v>44.9</v>
      </c>
      <c r="H20" s="158">
        <v>20.100000000000001</v>
      </c>
      <c r="J20" s="158">
        <v>1401</v>
      </c>
      <c r="K20" s="158">
        <v>1685.2</v>
      </c>
      <c r="L20" s="158">
        <v>919.8</v>
      </c>
      <c r="M20" s="158">
        <v>1647.9</v>
      </c>
      <c r="N20" s="158">
        <v>1787.2</v>
      </c>
      <c r="O20" s="158">
        <v>1811.9</v>
      </c>
    </row>
    <row r="21" spans="1:15" x14ac:dyDescent="0.3">
      <c r="A21" s="157">
        <v>2031</v>
      </c>
      <c r="B21" s="158">
        <v>1928.5</v>
      </c>
      <c r="C21" s="158">
        <v>453.7</v>
      </c>
      <c r="D21" s="158">
        <v>154.5</v>
      </c>
      <c r="E21" s="158">
        <v>960.2</v>
      </c>
      <c r="F21" s="158">
        <v>193.8</v>
      </c>
      <c r="G21" s="158">
        <v>47.2</v>
      </c>
      <c r="H21" s="158">
        <v>21.2</v>
      </c>
      <c r="J21" s="158">
        <v>1474.7</v>
      </c>
      <c r="K21" s="158">
        <v>1773.9</v>
      </c>
      <c r="L21" s="158">
        <v>968.3</v>
      </c>
      <c r="M21" s="158">
        <v>1734.7</v>
      </c>
      <c r="N21" s="158">
        <v>1881.2</v>
      </c>
      <c r="O21" s="158">
        <v>1907.3</v>
      </c>
    </row>
    <row r="22" spans="1:15" x14ac:dyDescent="0.3">
      <c r="A22" s="157">
        <v>2032</v>
      </c>
      <c r="B22" s="158">
        <v>2055.1999999999998</v>
      </c>
      <c r="C22" s="158">
        <v>483.5</v>
      </c>
      <c r="D22" s="158">
        <v>164.7</v>
      </c>
      <c r="E22" s="158">
        <v>1023.3</v>
      </c>
      <c r="F22" s="158">
        <v>206.5</v>
      </c>
      <c r="G22" s="158">
        <v>50.3</v>
      </c>
      <c r="H22" s="158">
        <v>22.6</v>
      </c>
      <c r="J22" s="158">
        <v>1571.6</v>
      </c>
      <c r="K22" s="158">
        <v>1890.5</v>
      </c>
      <c r="L22" s="158">
        <v>1031.9000000000001</v>
      </c>
      <c r="M22" s="158">
        <v>1848.6</v>
      </c>
      <c r="N22" s="158">
        <v>2004.8</v>
      </c>
      <c r="O22" s="158">
        <v>2032.6</v>
      </c>
    </row>
    <row r="23" spans="1:15" x14ac:dyDescent="0.3">
      <c r="A23" s="157">
        <v>2033</v>
      </c>
      <c r="B23" s="158">
        <v>1832</v>
      </c>
      <c r="C23" s="158">
        <v>431.1</v>
      </c>
      <c r="D23" s="158">
        <v>146.80000000000001</v>
      </c>
      <c r="E23" s="158">
        <v>912.2</v>
      </c>
      <c r="F23" s="158">
        <v>184.1</v>
      </c>
      <c r="G23" s="158">
        <v>44.9</v>
      </c>
      <c r="H23" s="158">
        <v>20.100000000000001</v>
      </c>
      <c r="J23" s="158">
        <v>1401</v>
      </c>
      <c r="K23" s="158">
        <v>1685.2</v>
      </c>
      <c r="L23" s="158">
        <v>919.8</v>
      </c>
      <c r="M23" s="158">
        <v>1647.9</v>
      </c>
      <c r="N23" s="158">
        <v>1787.2</v>
      </c>
      <c r="O23" s="158">
        <v>1811.9</v>
      </c>
    </row>
    <row r="24" spans="1:15" x14ac:dyDescent="0.3">
      <c r="A24" s="157">
        <v>2034</v>
      </c>
      <c r="B24" s="158">
        <v>1928.5</v>
      </c>
      <c r="C24" s="158">
        <v>453.7</v>
      </c>
      <c r="D24" s="158">
        <v>154.5</v>
      </c>
      <c r="E24" s="158">
        <v>960.2</v>
      </c>
      <c r="F24" s="158">
        <v>193.8</v>
      </c>
      <c r="G24" s="158">
        <v>47.2</v>
      </c>
      <c r="H24" s="158">
        <v>21.2</v>
      </c>
      <c r="J24" s="158">
        <v>1474.7</v>
      </c>
      <c r="K24" s="158">
        <v>1773.9</v>
      </c>
      <c r="L24" s="158">
        <v>968.3</v>
      </c>
      <c r="M24" s="158">
        <v>1734.7</v>
      </c>
      <c r="N24" s="158">
        <v>1881.2</v>
      </c>
      <c r="O24" s="158">
        <v>1907.3</v>
      </c>
    </row>
    <row r="25" spans="1:15" ht="15" thickBot="1" x14ac:dyDescent="0.35">
      <c r="A25" s="159">
        <v>2035</v>
      </c>
      <c r="B25" s="160">
        <v>2055.1999999999998</v>
      </c>
      <c r="C25" s="160">
        <v>483.5</v>
      </c>
      <c r="D25" s="160">
        <v>164.7</v>
      </c>
      <c r="E25" s="160">
        <v>1023.3</v>
      </c>
      <c r="F25" s="160">
        <v>206.5</v>
      </c>
      <c r="G25" s="160">
        <v>50.3</v>
      </c>
      <c r="H25" s="160">
        <v>22.6</v>
      </c>
      <c r="J25" s="160">
        <v>1571.6</v>
      </c>
      <c r="K25" s="160">
        <v>1890.5</v>
      </c>
      <c r="L25" s="160">
        <v>1031.9000000000001</v>
      </c>
      <c r="M25" s="160">
        <v>1848.6</v>
      </c>
      <c r="N25" s="160">
        <v>2004.8</v>
      </c>
      <c r="O25" s="160">
        <v>2032.6</v>
      </c>
    </row>
  </sheetData>
  <mergeCells count="2">
    <mergeCell ref="B6:H6"/>
    <mergeCell ref="J6:O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K46"/>
  <sheetViews>
    <sheetView topLeftCell="A10" workbookViewId="0">
      <selection activeCell="A3" sqref="A3"/>
    </sheetView>
  </sheetViews>
  <sheetFormatPr defaultRowHeight="14.4" x14ac:dyDescent="0.3"/>
  <cols>
    <col min="1" max="1" width="18" bestFit="1" customWidth="1"/>
    <col min="2" max="2" width="13" customWidth="1"/>
    <col min="10" max="10" width="0" hidden="1" customWidth="1"/>
    <col min="11" max="11" width="18.33203125" hidden="1" customWidth="1"/>
    <col min="12" max="15" width="0" hidden="1" customWidth="1"/>
  </cols>
  <sheetData>
    <row r="1" spans="1:11" ht="23.4" x14ac:dyDescent="0.45">
      <c r="A1" s="80" t="s">
        <v>87</v>
      </c>
    </row>
    <row r="2" spans="1:11" x14ac:dyDescent="0.3">
      <c r="A2" s="8" t="s">
        <v>205</v>
      </c>
    </row>
    <row r="4" spans="1:11" ht="20.399999999999999" thickBot="1" x14ac:dyDescent="0.45">
      <c r="A4" s="79" t="s">
        <v>88</v>
      </c>
      <c r="B4" s="79"/>
      <c r="C4" s="79"/>
      <c r="D4" s="79"/>
      <c r="E4" s="79"/>
      <c r="F4" s="79"/>
      <c r="G4" s="79"/>
      <c r="H4" s="79"/>
    </row>
    <row r="5" spans="1:11" ht="15.6" thickTop="1" thickBot="1" x14ac:dyDescent="0.35">
      <c r="A5" s="7" t="s">
        <v>24</v>
      </c>
      <c r="B5" s="52">
        <f>'User Selectable Programs'!F7</f>
        <v>2018</v>
      </c>
      <c r="E5" s="7"/>
    </row>
    <row r="6" spans="1:11" ht="15.6" thickTop="1" thickBot="1" x14ac:dyDescent="0.35">
      <c r="A6" s="7" t="s">
        <v>25</v>
      </c>
      <c r="B6" s="52">
        <f>'User Selectable Programs'!F8</f>
        <v>30</v>
      </c>
      <c r="E6" s="7"/>
    </row>
    <row r="7" spans="1:11" ht="15" thickTop="1" x14ac:dyDescent="0.3"/>
    <row r="8" spans="1:11" ht="20.399999999999999" thickBot="1" x14ac:dyDescent="0.45">
      <c r="A8" s="270" t="s">
        <v>39</v>
      </c>
      <c r="B8" s="270"/>
      <c r="C8" s="270"/>
      <c r="D8" s="270"/>
      <c r="E8" s="270"/>
      <c r="F8" s="270"/>
      <c r="G8" s="270"/>
      <c r="H8" s="270"/>
    </row>
    <row r="9" spans="1:11" ht="15" thickTop="1" x14ac:dyDescent="0.3">
      <c r="A9" s="1"/>
      <c r="B9" s="1"/>
      <c r="C9" s="1"/>
      <c r="D9" s="271" t="s">
        <v>0</v>
      </c>
      <c r="E9" s="271"/>
      <c r="F9" s="271"/>
      <c r="G9" s="271"/>
      <c r="H9" s="271"/>
    </row>
    <row r="10" spans="1:11" x14ac:dyDescent="0.3">
      <c r="A10" s="1"/>
      <c r="B10" s="1"/>
      <c r="C10" s="1"/>
      <c r="D10" s="3">
        <v>1</v>
      </c>
      <c r="E10" s="3">
        <v>2</v>
      </c>
      <c r="F10" s="3">
        <v>3</v>
      </c>
      <c r="G10" s="3">
        <v>4</v>
      </c>
      <c r="H10" s="3">
        <v>5</v>
      </c>
    </row>
    <row r="11" spans="1:11" x14ac:dyDescent="0.3">
      <c r="A11" s="2" t="s">
        <v>1</v>
      </c>
      <c r="B11" s="3" t="s">
        <v>40</v>
      </c>
      <c r="C11" s="3" t="s">
        <v>22</v>
      </c>
      <c r="D11" s="2" t="s">
        <v>2</v>
      </c>
      <c r="E11" s="2" t="s">
        <v>3</v>
      </c>
      <c r="F11" s="2" t="s">
        <v>4</v>
      </c>
      <c r="G11" s="2" t="s">
        <v>5</v>
      </c>
      <c r="H11" s="2" t="s">
        <v>6</v>
      </c>
      <c r="J11" s="3" t="s">
        <v>1</v>
      </c>
      <c r="K11" s="3" t="s">
        <v>23</v>
      </c>
    </row>
    <row r="12" spans="1:11" x14ac:dyDescent="0.3">
      <c r="A12" s="1" t="s">
        <v>41</v>
      </c>
      <c r="B12" s="1">
        <v>0</v>
      </c>
      <c r="C12" s="1">
        <f t="shared" ref="C12:C30" si="0">$B$5+$B12</f>
        <v>2018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37"/>
      <c r="J12" s="1">
        <v>2018</v>
      </c>
      <c r="K12" s="38">
        <f t="shared" ref="K12:K17" si="1">INDEX($D$12:$H$30,MATCH($C12,$C$12:$C$30,0),MATCH($B$6,$D$10:$H$10,1))</f>
        <v>0</v>
      </c>
    </row>
    <row r="13" spans="1:11" x14ac:dyDescent="0.3">
      <c r="A13" s="1" t="s">
        <v>42</v>
      </c>
      <c r="B13" s="1">
        <v>1</v>
      </c>
      <c r="C13" s="1">
        <f t="shared" si="0"/>
        <v>2019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37"/>
      <c r="J13" s="1">
        <f>J12+1</f>
        <v>2019</v>
      </c>
      <c r="K13" s="38">
        <f t="shared" si="1"/>
        <v>0</v>
      </c>
    </row>
    <row r="14" spans="1:11" x14ac:dyDescent="0.3">
      <c r="A14" s="1" t="s">
        <v>43</v>
      </c>
      <c r="B14" s="1">
        <v>2</v>
      </c>
      <c r="C14" s="1">
        <f t="shared" si="0"/>
        <v>2020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37"/>
      <c r="J14" s="1">
        <f t="shared" ref="J14:J44" si="2">J13+1</f>
        <v>2020</v>
      </c>
      <c r="K14" s="38">
        <f t="shared" si="1"/>
        <v>0</v>
      </c>
    </row>
    <row r="15" spans="1:11" x14ac:dyDescent="0.3">
      <c r="A15" s="1" t="s">
        <v>44</v>
      </c>
      <c r="B15" s="1">
        <v>3</v>
      </c>
      <c r="C15" s="1">
        <f t="shared" si="0"/>
        <v>2021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37"/>
      <c r="J15" s="1">
        <f t="shared" si="2"/>
        <v>2021</v>
      </c>
      <c r="K15" s="38">
        <f t="shared" si="1"/>
        <v>0</v>
      </c>
    </row>
    <row r="16" spans="1:11" x14ac:dyDescent="0.3">
      <c r="A16" s="1" t="s">
        <v>45</v>
      </c>
      <c r="B16" s="1">
        <v>4</v>
      </c>
      <c r="C16" s="1">
        <f t="shared" si="0"/>
        <v>2022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37"/>
      <c r="J16" s="1">
        <f t="shared" si="2"/>
        <v>2022</v>
      </c>
      <c r="K16" s="38">
        <f t="shared" si="1"/>
        <v>0</v>
      </c>
    </row>
    <row r="17" spans="1:11" x14ac:dyDescent="0.3">
      <c r="A17" s="1" t="s">
        <v>7</v>
      </c>
      <c r="B17" s="1">
        <v>5</v>
      </c>
      <c r="C17" s="1">
        <f t="shared" si="0"/>
        <v>2023</v>
      </c>
      <c r="D17" s="4">
        <v>0.3</v>
      </c>
      <c r="E17" s="4">
        <v>0.3</v>
      </c>
      <c r="F17" s="4">
        <v>0.3</v>
      </c>
      <c r="G17" s="4">
        <v>0.3</v>
      </c>
      <c r="H17" s="4">
        <v>0.3</v>
      </c>
      <c r="I17" s="37"/>
      <c r="J17" s="1">
        <f t="shared" si="2"/>
        <v>2023</v>
      </c>
      <c r="K17" s="38">
        <f t="shared" si="1"/>
        <v>0.3</v>
      </c>
    </row>
    <row r="18" spans="1:11" x14ac:dyDescent="0.3">
      <c r="A18" s="1" t="s">
        <v>8</v>
      </c>
      <c r="B18" s="1">
        <f>B17+1</f>
        <v>6</v>
      </c>
      <c r="C18" s="1">
        <f t="shared" si="0"/>
        <v>2024</v>
      </c>
      <c r="D18" s="4">
        <v>0.25</v>
      </c>
      <c r="E18" s="4">
        <v>0.45</v>
      </c>
      <c r="F18" s="4">
        <v>0.45</v>
      </c>
      <c r="G18" s="4">
        <v>0.45</v>
      </c>
      <c r="H18" s="4">
        <v>0.45</v>
      </c>
      <c r="I18" s="37"/>
      <c r="J18" s="1">
        <f>J17+1</f>
        <v>2024</v>
      </c>
      <c r="K18" s="38">
        <f t="shared" ref="K18:K44" si="3">INDEX($D$17:$H$30,MATCH($C18,$C$17:$C$30,0),MATCH($B$6,$D$10:$H$10,1))</f>
        <v>0.45</v>
      </c>
    </row>
    <row r="19" spans="1:11" x14ac:dyDescent="0.3">
      <c r="A19" s="1" t="s">
        <v>9</v>
      </c>
      <c r="B19" s="1">
        <f t="shared" ref="B19:B30" si="4">B18+1</f>
        <v>7</v>
      </c>
      <c r="C19" s="1">
        <f t="shared" si="0"/>
        <v>2025</v>
      </c>
      <c r="D19" s="4">
        <v>0.2</v>
      </c>
      <c r="E19" s="4">
        <v>0.37</v>
      </c>
      <c r="F19" s="4">
        <v>0.56999999999999995</v>
      </c>
      <c r="G19" s="4">
        <v>0.56999999999999995</v>
      </c>
      <c r="H19" s="4">
        <v>0.56999999999999995</v>
      </c>
      <c r="I19" s="37"/>
      <c r="J19" s="1">
        <f t="shared" si="2"/>
        <v>2025</v>
      </c>
      <c r="K19" s="38">
        <f t="shared" si="3"/>
        <v>0.56999999999999995</v>
      </c>
    </row>
    <row r="20" spans="1:11" x14ac:dyDescent="0.3">
      <c r="A20" s="1" t="s">
        <v>10</v>
      </c>
      <c r="B20" s="1">
        <f t="shared" si="4"/>
        <v>8</v>
      </c>
      <c r="C20" s="1">
        <f t="shared" si="0"/>
        <v>2026</v>
      </c>
      <c r="D20" s="4">
        <v>0.15</v>
      </c>
      <c r="E20" s="4">
        <v>0.28000000000000003</v>
      </c>
      <c r="F20" s="4">
        <v>0.45</v>
      </c>
      <c r="G20" s="4">
        <v>0.65</v>
      </c>
      <c r="H20" s="4">
        <v>0.65</v>
      </c>
      <c r="I20" s="37"/>
      <c r="J20" s="1">
        <f t="shared" si="2"/>
        <v>2026</v>
      </c>
      <c r="K20" s="38">
        <f t="shared" si="3"/>
        <v>0.65</v>
      </c>
    </row>
    <row r="21" spans="1:11" x14ac:dyDescent="0.3">
      <c r="A21" s="1" t="s">
        <v>11</v>
      </c>
      <c r="B21" s="1">
        <f t="shared" si="4"/>
        <v>9</v>
      </c>
      <c r="C21" s="1">
        <f t="shared" si="0"/>
        <v>2027</v>
      </c>
      <c r="D21" s="4">
        <v>0.1</v>
      </c>
      <c r="E21" s="4">
        <v>0.2</v>
      </c>
      <c r="F21" s="4">
        <v>0.33</v>
      </c>
      <c r="G21" s="4">
        <v>0.5</v>
      </c>
      <c r="H21" s="4">
        <v>0.6</v>
      </c>
      <c r="I21" s="37"/>
      <c r="J21" s="1">
        <f t="shared" si="2"/>
        <v>2027</v>
      </c>
      <c r="K21" s="38">
        <f t="shared" si="3"/>
        <v>0.6</v>
      </c>
    </row>
    <row r="22" spans="1:11" x14ac:dyDescent="0.3">
      <c r="A22" s="1" t="s">
        <v>12</v>
      </c>
      <c r="B22" s="1">
        <f t="shared" si="4"/>
        <v>10</v>
      </c>
      <c r="C22" s="1">
        <f t="shared" si="0"/>
        <v>2028</v>
      </c>
      <c r="D22" s="4">
        <v>0.05</v>
      </c>
      <c r="E22" s="4">
        <v>0.12</v>
      </c>
      <c r="F22" s="4">
        <v>0.22</v>
      </c>
      <c r="G22" s="4">
        <v>0.35</v>
      </c>
      <c r="H22" s="4">
        <v>0.43</v>
      </c>
      <c r="I22" s="37"/>
      <c r="J22" s="1">
        <f t="shared" si="2"/>
        <v>2028</v>
      </c>
      <c r="K22" s="38">
        <f t="shared" si="3"/>
        <v>0.43</v>
      </c>
    </row>
    <row r="23" spans="1:11" x14ac:dyDescent="0.3">
      <c r="A23" s="1" t="s">
        <v>13</v>
      </c>
      <c r="B23" s="1">
        <f t="shared" si="4"/>
        <v>11</v>
      </c>
      <c r="C23" s="1">
        <f t="shared" si="0"/>
        <v>2029</v>
      </c>
      <c r="D23" s="4">
        <v>0</v>
      </c>
      <c r="E23" s="4">
        <v>0.03</v>
      </c>
      <c r="F23" s="4">
        <v>0.1</v>
      </c>
      <c r="G23" s="4">
        <v>0.2</v>
      </c>
      <c r="H23" s="4">
        <v>0.27</v>
      </c>
      <c r="I23" s="37"/>
      <c r="J23" s="1">
        <f t="shared" si="2"/>
        <v>2029</v>
      </c>
      <c r="K23" s="38">
        <f t="shared" si="3"/>
        <v>0.27</v>
      </c>
    </row>
    <row r="24" spans="1:11" x14ac:dyDescent="0.3">
      <c r="A24" s="1" t="s">
        <v>14</v>
      </c>
      <c r="B24" s="1">
        <f t="shared" si="4"/>
        <v>12</v>
      </c>
      <c r="C24" s="1">
        <f t="shared" si="0"/>
        <v>2030</v>
      </c>
      <c r="D24" s="4">
        <v>0</v>
      </c>
      <c r="E24" s="4">
        <v>0</v>
      </c>
      <c r="F24" s="4">
        <v>0.03</v>
      </c>
      <c r="G24" s="4">
        <v>0.1</v>
      </c>
      <c r="H24" s="4">
        <v>0.15</v>
      </c>
      <c r="I24" s="37"/>
      <c r="J24" s="1">
        <f t="shared" si="2"/>
        <v>2030</v>
      </c>
      <c r="K24" s="38">
        <f t="shared" si="3"/>
        <v>0.15</v>
      </c>
    </row>
    <row r="25" spans="1:11" x14ac:dyDescent="0.3">
      <c r="A25" s="1" t="s">
        <v>15</v>
      </c>
      <c r="B25" s="1">
        <f t="shared" si="4"/>
        <v>13</v>
      </c>
      <c r="C25" s="1">
        <f t="shared" si="0"/>
        <v>2031</v>
      </c>
      <c r="D25" s="4">
        <v>0</v>
      </c>
      <c r="E25" s="4">
        <v>0</v>
      </c>
      <c r="F25" s="4">
        <v>0</v>
      </c>
      <c r="G25" s="4">
        <v>0.03</v>
      </c>
      <c r="H25" s="4">
        <v>7.0000000000000007E-2</v>
      </c>
      <c r="I25" s="37"/>
      <c r="J25" s="1">
        <f t="shared" si="2"/>
        <v>2031</v>
      </c>
      <c r="K25" s="38">
        <f t="shared" si="3"/>
        <v>7.0000000000000007E-2</v>
      </c>
    </row>
    <row r="26" spans="1:11" x14ac:dyDescent="0.3">
      <c r="A26" s="1" t="s">
        <v>16</v>
      </c>
      <c r="B26" s="1">
        <f t="shared" si="4"/>
        <v>14</v>
      </c>
      <c r="C26" s="1">
        <f t="shared" si="0"/>
        <v>2032</v>
      </c>
      <c r="D26" s="4">
        <v>0</v>
      </c>
      <c r="E26" s="4">
        <v>0</v>
      </c>
      <c r="F26" s="4">
        <v>0</v>
      </c>
      <c r="G26" s="4">
        <v>0</v>
      </c>
      <c r="H26" s="4">
        <v>0.02</v>
      </c>
      <c r="I26" s="37"/>
      <c r="J26" s="1">
        <f t="shared" si="2"/>
        <v>2032</v>
      </c>
      <c r="K26" s="38">
        <f t="shared" si="3"/>
        <v>0.02</v>
      </c>
    </row>
    <row r="27" spans="1:11" x14ac:dyDescent="0.3">
      <c r="A27" s="1" t="s">
        <v>17</v>
      </c>
      <c r="B27" s="1">
        <f t="shared" si="4"/>
        <v>15</v>
      </c>
      <c r="C27" s="1">
        <f t="shared" si="0"/>
        <v>2033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37"/>
      <c r="J27" s="1">
        <f t="shared" si="2"/>
        <v>2033</v>
      </c>
      <c r="K27" s="38">
        <f t="shared" si="3"/>
        <v>0</v>
      </c>
    </row>
    <row r="28" spans="1:11" x14ac:dyDescent="0.3">
      <c r="A28" s="1" t="s">
        <v>18</v>
      </c>
      <c r="B28" s="1">
        <f t="shared" si="4"/>
        <v>16</v>
      </c>
      <c r="C28" s="1">
        <f t="shared" si="0"/>
        <v>2034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37"/>
      <c r="J28" s="1">
        <f t="shared" si="2"/>
        <v>2034</v>
      </c>
      <c r="K28" s="38">
        <f t="shared" si="3"/>
        <v>0</v>
      </c>
    </row>
    <row r="29" spans="1:11" x14ac:dyDescent="0.3">
      <c r="A29" s="1" t="s">
        <v>19</v>
      </c>
      <c r="B29" s="1">
        <f t="shared" si="4"/>
        <v>17</v>
      </c>
      <c r="C29" s="1">
        <f t="shared" si="0"/>
        <v>2035</v>
      </c>
      <c r="D29" s="4">
        <v>0</v>
      </c>
      <c r="E29" s="4">
        <v>0</v>
      </c>
      <c r="F29" s="4">
        <v>0</v>
      </c>
      <c r="G29" s="4">
        <v>0</v>
      </c>
      <c r="H29" s="4">
        <v>0</v>
      </c>
      <c r="I29" s="37"/>
      <c r="J29" s="1">
        <f t="shared" si="2"/>
        <v>2035</v>
      </c>
      <c r="K29" s="38">
        <f t="shared" si="3"/>
        <v>0</v>
      </c>
    </row>
    <row r="30" spans="1:11" x14ac:dyDescent="0.3">
      <c r="A30" s="1" t="s">
        <v>20</v>
      </c>
      <c r="B30" s="1">
        <f t="shared" si="4"/>
        <v>18</v>
      </c>
      <c r="C30" s="1">
        <f t="shared" si="0"/>
        <v>2036</v>
      </c>
      <c r="D30" s="4">
        <v>0</v>
      </c>
      <c r="E30" s="4">
        <v>0</v>
      </c>
      <c r="F30" s="4">
        <v>0</v>
      </c>
      <c r="G30" s="4">
        <v>0</v>
      </c>
      <c r="H30" s="4">
        <v>0</v>
      </c>
      <c r="I30" s="37"/>
      <c r="J30" s="1">
        <f t="shared" si="2"/>
        <v>2036</v>
      </c>
      <c r="K30" s="38">
        <f t="shared" si="3"/>
        <v>0</v>
      </c>
    </row>
    <row r="31" spans="1:11" x14ac:dyDescent="0.3">
      <c r="J31" s="1">
        <f t="shared" si="2"/>
        <v>2037</v>
      </c>
      <c r="K31" s="38" t="e">
        <f t="shared" si="3"/>
        <v>#N/A</v>
      </c>
    </row>
    <row r="32" spans="1:11" x14ac:dyDescent="0.3">
      <c r="J32" s="1">
        <f t="shared" si="2"/>
        <v>2038</v>
      </c>
      <c r="K32" s="38" t="e">
        <f t="shared" si="3"/>
        <v>#N/A</v>
      </c>
    </row>
    <row r="33" spans="10:11" x14ac:dyDescent="0.3">
      <c r="J33" s="1">
        <f t="shared" si="2"/>
        <v>2039</v>
      </c>
      <c r="K33" s="38" t="e">
        <f t="shared" si="3"/>
        <v>#N/A</v>
      </c>
    </row>
    <row r="34" spans="10:11" x14ac:dyDescent="0.3">
      <c r="J34" s="1">
        <f t="shared" si="2"/>
        <v>2040</v>
      </c>
      <c r="K34" s="38" t="e">
        <f t="shared" si="3"/>
        <v>#N/A</v>
      </c>
    </row>
    <row r="35" spans="10:11" x14ac:dyDescent="0.3">
      <c r="J35" s="1">
        <f t="shared" si="2"/>
        <v>2041</v>
      </c>
      <c r="K35" s="38" t="e">
        <f t="shared" si="3"/>
        <v>#N/A</v>
      </c>
    </row>
    <row r="36" spans="10:11" x14ac:dyDescent="0.3">
      <c r="J36" s="1">
        <f t="shared" si="2"/>
        <v>2042</v>
      </c>
      <c r="K36" s="38" t="e">
        <f t="shared" si="3"/>
        <v>#N/A</v>
      </c>
    </row>
    <row r="37" spans="10:11" x14ac:dyDescent="0.3">
      <c r="J37" s="1">
        <f t="shared" si="2"/>
        <v>2043</v>
      </c>
      <c r="K37" s="38" t="e">
        <f t="shared" si="3"/>
        <v>#N/A</v>
      </c>
    </row>
    <row r="38" spans="10:11" x14ac:dyDescent="0.3">
      <c r="J38" s="1">
        <f t="shared" si="2"/>
        <v>2044</v>
      </c>
      <c r="K38" s="38" t="e">
        <f t="shared" si="3"/>
        <v>#N/A</v>
      </c>
    </row>
    <row r="39" spans="10:11" x14ac:dyDescent="0.3">
      <c r="J39" s="1">
        <f t="shared" si="2"/>
        <v>2045</v>
      </c>
      <c r="K39" s="38" t="e">
        <f t="shared" si="3"/>
        <v>#N/A</v>
      </c>
    </row>
    <row r="40" spans="10:11" x14ac:dyDescent="0.3">
      <c r="J40" s="1">
        <f t="shared" si="2"/>
        <v>2046</v>
      </c>
      <c r="K40" s="38" t="e">
        <f t="shared" si="3"/>
        <v>#N/A</v>
      </c>
    </row>
    <row r="41" spans="10:11" x14ac:dyDescent="0.3">
      <c r="J41" s="1">
        <f t="shared" si="2"/>
        <v>2047</v>
      </c>
      <c r="K41" s="38" t="e">
        <f t="shared" si="3"/>
        <v>#N/A</v>
      </c>
    </row>
    <row r="42" spans="10:11" x14ac:dyDescent="0.3">
      <c r="J42" s="1">
        <f t="shared" si="2"/>
        <v>2048</v>
      </c>
      <c r="K42" s="38" t="e">
        <f t="shared" si="3"/>
        <v>#N/A</v>
      </c>
    </row>
    <row r="43" spans="10:11" x14ac:dyDescent="0.3">
      <c r="J43" s="1">
        <f t="shared" si="2"/>
        <v>2049</v>
      </c>
      <c r="K43" s="38" t="e">
        <f t="shared" si="3"/>
        <v>#N/A</v>
      </c>
    </row>
    <row r="44" spans="10:11" x14ac:dyDescent="0.3">
      <c r="J44" s="1">
        <f t="shared" si="2"/>
        <v>2050</v>
      </c>
      <c r="K44" s="38" t="e">
        <f t="shared" si="3"/>
        <v>#N/A</v>
      </c>
    </row>
    <row r="45" spans="10:11" x14ac:dyDescent="0.3">
      <c r="J45" s="1"/>
      <c r="K45" s="38"/>
    </row>
    <row r="46" spans="10:11" x14ac:dyDescent="0.3">
      <c r="J46" s="1"/>
      <c r="K46" s="38"/>
    </row>
  </sheetData>
  <mergeCells count="2">
    <mergeCell ref="A8:H8"/>
    <mergeCell ref="D9:H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41"/>
  <sheetViews>
    <sheetView workbookViewId="0">
      <selection activeCell="A4" sqref="A1:O4"/>
    </sheetView>
  </sheetViews>
  <sheetFormatPr defaultRowHeight="14.4" x14ac:dyDescent="0.3"/>
  <cols>
    <col min="1" max="1" width="30.88671875" customWidth="1"/>
  </cols>
  <sheetData>
    <row r="1" spans="1:15" ht="23.4" x14ac:dyDescent="0.45">
      <c r="A1" s="80" t="s">
        <v>159</v>
      </c>
    </row>
    <row r="2" spans="1:15" x14ac:dyDescent="0.3">
      <c r="A2" t="s">
        <v>83</v>
      </c>
    </row>
    <row r="4" spans="1:15" ht="20.399999999999999" thickBot="1" x14ac:dyDescent="0.45">
      <c r="A4" s="81" t="s">
        <v>84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15" thickTop="1" x14ac:dyDescent="0.3"/>
    <row r="6" spans="1:15" x14ac:dyDescent="0.3">
      <c r="A6" s="7" t="s">
        <v>73</v>
      </c>
    </row>
    <row r="7" spans="1:15" x14ac:dyDescent="0.3">
      <c r="A7" s="66" t="s">
        <v>24</v>
      </c>
      <c r="B7" s="53">
        <v>2018</v>
      </c>
      <c r="C7" s="8" t="s">
        <v>27</v>
      </c>
    </row>
    <row r="8" spans="1:15" x14ac:dyDescent="0.3">
      <c r="A8" s="66" t="s">
        <v>25</v>
      </c>
      <c r="B8" s="53">
        <v>100</v>
      </c>
      <c r="C8" s="8" t="s">
        <v>81</v>
      </c>
    </row>
    <row r="9" spans="1:15" x14ac:dyDescent="0.3">
      <c r="A9" s="66" t="s">
        <v>26</v>
      </c>
      <c r="B9" s="54">
        <v>0.5</v>
      </c>
      <c r="C9" s="8" t="s">
        <v>28</v>
      </c>
    </row>
    <row r="10" spans="1:15" x14ac:dyDescent="0.3">
      <c r="A10" s="7" t="s">
        <v>74</v>
      </c>
      <c r="C10" s="8"/>
    </row>
    <row r="11" spans="1:15" x14ac:dyDescent="0.3">
      <c r="A11" s="67" t="s">
        <v>75</v>
      </c>
      <c r="B11" s="68">
        <v>0.08</v>
      </c>
      <c r="C11" s="70" t="s">
        <v>78</v>
      </c>
    </row>
    <row r="12" spans="1:15" x14ac:dyDescent="0.3">
      <c r="A12" s="67" t="s">
        <v>76</v>
      </c>
      <c r="B12" s="68">
        <v>0.08</v>
      </c>
      <c r="C12" s="70" t="s">
        <v>79</v>
      </c>
    </row>
    <row r="13" spans="1:15" x14ac:dyDescent="0.3">
      <c r="A13" s="67" t="s">
        <v>77</v>
      </c>
      <c r="B13" s="69">
        <v>1.6E-2</v>
      </c>
      <c r="C13" s="70" t="s">
        <v>80</v>
      </c>
    </row>
    <row r="14" spans="1:15" hidden="1" x14ac:dyDescent="0.3">
      <c r="A14" s="132"/>
    </row>
    <row r="15" spans="1:15" hidden="1" x14ac:dyDescent="0.3">
      <c r="A15" s="67"/>
      <c r="B15" s="137"/>
    </row>
    <row r="19" spans="1:15" ht="20.399999999999999" thickBot="1" x14ac:dyDescent="0.45">
      <c r="A19" s="81" t="s">
        <v>158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</row>
    <row r="20" spans="1:15" ht="15" thickTop="1" x14ac:dyDescent="0.3"/>
    <row r="21" spans="1:15" x14ac:dyDescent="0.3">
      <c r="B21" s="272" t="s">
        <v>149</v>
      </c>
      <c r="C21" s="272"/>
      <c r="D21" s="272"/>
      <c r="E21" s="272"/>
      <c r="G21" s="272" t="s">
        <v>150</v>
      </c>
      <c r="H21" s="272"/>
      <c r="I21" s="272"/>
      <c r="J21" s="272"/>
      <c r="L21" s="272"/>
      <c r="M21" s="272"/>
      <c r="N21" s="272"/>
      <c r="O21" s="272"/>
    </row>
    <row r="22" spans="1:15" x14ac:dyDescent="0.3">
      <c r="B22" s="273" t="s">
        <v>147</v>
      </c>
      <c r="C22" s="273"/>
      <c r="D22" s="273" t="s">
        <v>146</v>
      </c>
      <c r="E22" s="273"/>
      <c r="G22" s="274" t="s">
        <v>147</v>
      </c>
      <c r="H22" s="274"/>
      <c r="I22" s="274" t="s">
        <v>146</v>
      </c>
      <c r="J22" s="274"/>
      <c r="L22" s="273"/>
      <c r="M22" s="273"/>
      <c r="N22" s="273"/>
      <c r="O22" s="273"/>
    </row>
    <row r="23" spans="1:15" ht="15" thickBot="1" x14ac:dyDescent="0.35">
      <c r="A23" t="s">
        <v>1</v>
      </c>
      <c r="B23" s="128" t="s">
        <v>93</v>
      </c>
      <c r="C23" s="128" t="s">
        <v>103</v>
      </c>
      <c r="D23" s="128" t="s">
        <v>93</v>
      </c>
      <c r="E23" s="128" t="s">
        <v>103</v>
      </c>
      <c r="G23" s="128" t="s">
        <v>93</v>
      </c>
      <c r="H23" s="128" t="s">
        <v>103</v>
      </c>
      <c r="I23" s="128" t="s">
        <v>93</v>
      </c>
      <c r="J23" s="128" t="s">
        <v>103</v>
      </c>
      <c r="L23" s="128"/>
      <c r="M23" s="128"/>
      <c r="N23" s="128"/>
      <c r="O23" s="128"/>
    </row>
    <row r="24" spans="1:15" ht="15" thickTop="1" x14ac:dyDescent="0.3">
      <c r="A24">
        <f>'Wholesale Avoided Capacity'!A13</f>
        <v>2018</v>
      </c>
      <c r="B24" s="127">
        <f>'Wholesale Avoided Capacity'!C13</f>
        <v>104.4975</v>
      </c>
      <c r="C24" s="127">
        <f>'Wholesale Avoided Capacity'!D13</f>
        <v>0</v>
      </c>
      <c r="D24" s="127">
        <f>'Wholesale Avoided Capacity'!F13</f>
        <v>112.85730000000001</v>
      </c>
      <c r="E24" s="127">
        <f>'Wholesale Avoided Capacity'!G13</f>
        <v>0</v>
      </c>
      <c r="G24" s="139">
        <f>SUMIFS('DRIPE - Cleared'!$B$7:$B$24,'DRIPE - Cleared'!$A$7:$A$24,Summary!$A24)</f>
        <v>525.90389724158399</v>
      </c>
      <c r="H24" s="139">
        <f>'DRIPE - Uncleared'!B7</f>
        <v>0</v>
      </c>
      <c r="I24" s="139">
        <f>G24*(1+$B$12)</f>
        <v>567.9762090209108</v>
      </c>
      <c r="J24" s="139">
        <f>H24*(1+$B$11)*(1+$B$12)*(1+$B$13)</f>
        <v>0</v>
      </c>
      <c r="L24" s="139"/>
      <c r="M24" s="139"/>
      <c r="N24" s="139"/>
      <c r="O24" s="139"/>
    </row>
    <row r="25" spans="1:15" x14ac:dyDescent="0.3">
      <c r="A25">
        <f>'Wholesale Avoided Capacity'!A14</f>
        <v>2019</v>
      </c>
      <c r="B25" s="127">
        <f>'Wholesale Avoided Capacity'!C14</f>
        <v>100.00999999999999</v>
      </c>
      <c r="C25" s="127">
        <f>'Wholesale Avoided Capacity'!D14</f>
        <v>0</v>
      </c>
      <c r="D25" s="127">
        <f>'Wholesale Avoided Capacity'!F14</f>
        <v>101.61015999999999</v>
      </c>
      <c r="E25" s="127">
        <f>'Wholesale Avoided Capacity'!G14</f>
        <v>0</v>
      </c>
      <c r="G25" s="139">
        <f>SUMIFS('DRIPE - Cleared'!$B$7:$B$24,'DRIPE - Cleared'!$A$7:$A$24,Summary!$A25)</f>
        <v>275.40670790511007</v>
      </c>
      <c r="H25" s="139">
        <f>'DRIPE - Uncleared'!B8</f>
        <v>0</v>
      </c>
      <c r="I25" s="139">
        <f t="shared" ref="I25:I41" si="0">G25*(1+$B$12)</f>
        <v>297.4392445375189</v>
      </c>
      <c r="J25" s="139">
        <f t="shared" ref="J25:J41" si="1">H25*(1+$B$11)*(1+$B$12)*(1+$B$13)</f>
        <v>0</v>
      </c>
      <c r="L25" s="139"/>
      <c r="M25" s="139"/>
      <c r="N25" s="139"/>
      <c r="O25" s="139"/>
    </row>
    <row r="26" spans="1:15" x14ac:dyDescent="0.3">
      <c r="A26">
        <f>'Wholesale Avoided Capacity'!A15</f>
        <v>2020</v>
      </c>
      <c r="B26" s="127">
        <f>'Wholesale Avoided Capacity'!C15</f>
        <v>73.849999999999994</v>
      </c>
      <c r="C26" s="127">
        <f>'Wholesale Avoided Capacity'!D15</f>
        <v>0</v>
      </c>
      <c r="D26" s="127">
        <f>'Wholesale Avoided Capacity'!F15</f>
        <v>73.849999999999994</v>
      </c>
      <c r="E26" s="127">
        <f>'Wholesale Avoided Capacity'!G15</f>
        <v>0</v>
      </c>
      <c r="G26" s="139">
        <f>SUMIFS('DRIPE - Cleared'!$B$7:$B$24,'DRIPE - Cleared'!$A$7:$A$24,Summary!$A26)</f>
        <v>335.17195323901689</v>
      </c>
      <c r="H26" s="139">
        <f>'DRIPE - Uncleared'!B9</f>
        <v>0</v>
      </c>
      <c r="I26" s="139">
        <f t="shared" si="0"/>
        <v>361.98570949813825</v>
      </c>
      <c r="J26" s="139">
        <f t="shared" si="1"/>
        <v>0</v>
      </c>
      <c r="L26" s="139"/>
      <c r="M26" s="139"/>
      <c r="N26" s="139"/>
      <c r="O26" s="139"/>
    </row>
    <row r="27" spans="1:15" x14ac:dyDescent="0.3">
      <c r="A27">
        <f>'Wholesale Avoided Capacity'!A16</f>
        <v>2021</v>
      </c>
      <c r="B27" s="127">
        <f>'Wholesale Avoided Capacity'!C16</f>
        <v>59.93</v>
      </c>
      <c r="C27" s="127">
        <f>'Wholesale Avoided Capacity'!D16</f>
        <v>0</v>
      </c>
      <c r="D27" s="127">
        <f>'Wholesale Avoided Capacity'!F16</f>
        <v>59.93</v>
      </c>
      <c r="E27" s="127">
        <f>'Wholesale Avoided Capacity'!G16</f>
        <v>0</v>
      </c>
      <c r="G27" s="139">
        <f>SUMIFS('DRIPE - Cleared'!$B$7:$B$24,'DRIPE - Cleared'!$A$7:$A$24,Summary!$A27)</f>
        <v>55.835073144304616</v>
      </c>
      <c r="H27" s="139">
        <f>'DRIPE - Uncleared'!B10</f>
        <v>0</v>
      </c>
      <c r="I27" s="139">
        <f t="shared" si="0"/>
        <v>60.301878995848988</v>
      </c>
      <c r="J27" s="139">
        <f t="shared" si="1"/>
        <v>0</v>
      </c>
      <c r="L27" s="139"/>
      <c r="M27" s="139"/>
      <c r="N27" s="139"/>
      <c r="O27" s="139"/>
    </row>
    <row r="28" spans="1:15" x14ac:dyDescent="0.3">
      <c r="A28">
        <f>'Wholesale Avoided Capacity'!A17</f>
        <v>2022</v>
      </c>
      <c r="B28" s="127">
        <f>'Wholesale Avoided Capacity'!C17</f>
        <v>57.58</v>
      </c>
      <c r="C28" s="127">
        <f>'Wholesale Avoided Capacity'!D17</f>
        <v>0</v>
      </c>
      <c r="D28" s="127">
        <f>'Wholesale Avoided Capacity'!F17</f>
        <v>57.58</v>
      </c>
      <c r="E28" s="127">
        <f>'Wholesale Avoided Capacity'!G17</f>
        <v>0</v>
      </c>
      <c r="G28" s="139">
        <f>SUMIFS('DRIPE - Cleared'!$B$7:$B$24,'DRIPE - Cleared'!$A$7:$A$24,Summary!$A28)</f>
        <v>37.327448448226164</v>
      </c>
      <c r="H28" s="139">
        <f>'DRIPE - Uncleared'!B11</f>
        <v>0</v>
      </c>
      <c r="I28" s="139">
        <f t="shared" si="0"/>
        <v>40.313644324084258</v>
      </c>
      <c r="J28" s="139">
        <f t="shared" si="1"/>
        <v>0</v>
      </c>
      <c r="L28" s="139"/>
      <c r="M28" s="139"/>
      <c r="N28" s="139"/>
      <c r="O28" s="139"/>
    </row>
    <row r="29" spans="1:15" x14ac:dyDescent="0.3">
      <c r="A29">
        <f>'Wholesale Avoided Capacity'!A18</f>
        <v>2023</v>
      </c>
      <c r="B29" s="127">
        <f>'Wholesale Avoided Capacity'!C18</f>
        <v>58.78</v>
      </c>
      <c r="C29" s="127">
        <f>'Wholesale Avoided Capacity'!D18</f>
        <v>20.790485999999998</v>
      </c>
      <c r="D29" s="127">
        <f>'Wholesale Avoided Capacity'!F18</f>
        <v>58.78</v>
      </c>
      <c r="E29" s="127">
        <f>'Wholesale Avoided Capacity'!G18</f>
        <v>24.638023236326404</v>
      </c>
      <c r="G29" s="139">
        <f>SUMIFS('DRIPE - Cleared'!$B$7:$B$24,'DRIPE - Cleared'!$A$7:$A$24,Summary!$A29)</f>
        <v>19.357969381005713</v>
      </c>
      <c r="H29" s="139">
        <f>'DRIPE - Uncleared'!B12</f>
        <v>44.231493384741412</v>
      </c>
      <c r="I29" s="139">
        <f t="shared" si="0"/>
        <v>20.90660693148617</v>
      </c>
      <c r="J29" s="139">
        <f t="shared" si="1"/>
        <v>52.417079706105788</v>
      </c>
      <c r="L29" s="139"/>
      <c r="M29" s="139"/>
      <c r="N29" s="139"/>
      <c r="O29" s="139"/>
    </row>
    <row r="30" spans="1:15" x14ac:dyDescent="0.3">
      <c r="A30">
        <f>'Wholesale Avoided Capacity'!A19</f>
        <v>2024</v>
      </c>
      <c r="B30" s="127">
        <f>'Wholesale Avoided Capacity'!C19</f>
        <v>61.24</v>
      </c>
      <c r="C30" s="127">
        <f>'Wholesale Avoided Capacity'!D19</f>
        <v>36.039740000000002</v>
      </c>
      <c r="D30" s="127">
        <f>'Wholesale Avoided Capacity'!F19</f>
        <v>61.24</v>
      </c>
      <c r="E30" s="127">
        <f>'Wholesale Avoided Capacity'!G19</f>
        <v>42.709340779776007</v>
      </c>
      <c r="G30" s="139">
        <f>SUMIFS('DRIPE - Cleared'!$B$7:$B$24,'DRIPE - Cleared'!$A$7:$A$24,Summary!$A30)</f>
        <v>0</v>
      </c>
      <c r="H30" s="139">
        <f>'DRIPE - Uncleared'!B13</f>
        <v>67.332550425318487</v>
      </c>
      <c r="I30" s="139">
        <f t="shared" si="0"/>
        <v>0</v>
      </c>
      <c r="J30" s="139">
        <f t="shared" si="1"/>
        <v>79.793273805148957</v>
      </c>
      <c r="L30" s="139"/>
      <c r="M30" s="139"/>
      <c r="N30" s="139"/>
      <c r="O30" s="139"/>
    </row>
    <row r="31" spans="1:15" x14ac:dyDescent="0.3">
      <c r="A31">
        <f>'Wholesale Avoided Capacity'!A20</f>
        <v>2025</v>
      </c>
      <c r="B31" s="127">
        <f>'Wholesale Avoided Capacity'!C20</f>
        <v>65.650000000000006</v>
      </c>
      <c r="C31" s="127">
        <f>'Wholesale Avoided Capacity'!D20</f>
        <v>53.905214999999998</v>
      </c>
      <c r="D31" s="127">
        <f>'Wholesale Avoided Capacity'!F20</f>
        <v>65.650000000000006</v>
      </c>
      <c r="E31" s="127">
        <f>'Wholesale Avoided Capacity'!G20</f>
        <v>63.881043460416009</v>
      </c>
      <c r="G31" s="139">
        <f>SUMIFS('DRIPE - Cleared'!$B$7:$B$24,'DRIPE - Cleared'!$A$7:$A$24,Summary!$A31)</f>
        <v>0</v>
      </c>
      <c r="H31" s="139">
        <f>'DRIPE - Uncleared'!B14</f>
        <v>1092.9090657281836</v>
      </c>
      <c r="I31" s="139">
        <f t="shared" si="0"/>
        <v>0</v>
      </c>
      <c r="J31" s="139">
        <f t="shared" si="1"/>
        <v>1295.1654404135993</v>
      </c>
      <c r="L31" s="139"/>
      <c r="M31" s="139"/>
      <c r="N31" s="139"/>
      <c r="O31" s="139"/>
    </row>
    <row r="32" spans="1:15" x14ac:dyDescent="0.3">
      <c r="A32">
        <f>'Wholesale Avoided Capacity'!A21</f>
        <v>2026</v>
      </c>
      <c r="B32" s="127">
        <f>'Wholesale Avoided Capacity'!C21</f>
        <v>71.16</v>
      </c>
      <c r="C32" s="127">
        <f>'Wholesale Avoided Capacity'!D21</f>
        <v>74.867436000000012</v>
      </c>
      <c r="D32" s="127">
        <f>'Wholesale Avoided Capacity'!F21</f>
        <v>71.16</v>
      </c>
      <c r="E32" s="127">
        <f>'Wholesale Avoided Capacity'!G21</f>
        <v>88.722583388006427</v>
      </c>
      <c r="G32" s="139">
        <f>SUMIFS('DRIPE - Cleared'!$B$7:$B$24,'DRIPE - Cleared'!$A$7:$A$24,Summary!$A32)</f>
        <v>0</v>
      </c>
      <c r="H32" s="139">
        <f>'DRIPE - Uncleared'!B15</f>
        <v>1335.5643554874384</v>
      </c>
      <c r="I32" s="139">
        <f t="shared" si="0"/>
        <v>0</v>
      </c>
      <c r="J32" s="139">
        <f t="shared" si="1"/>
        <v>1582.7271004683973</v>
      </c>
      <c r="L32" s="139"/>
      <c r="M32" s="139"/>
      <c r="N32" s="139"/>
      <c r="O32" s="139"/>
    </row>
    <row r="33" spans="1:15" x14ac:dyDescent="0.3">
      <c r="A33">
        <f>'Wholesale Avoided Capacity'!A22</f>
        <v>2027</v>
      </c>
      <c r="B33" s="127">
        <f>'Wholesale Avoided Capacity'!C22</f>
        <v>76.849999999999994</v>
      </c>
      <c r="C33" s="127">
        <f>'Wholesale Avoided Capacity'!D22</f>
        <v>89.530249999999995</v>
      </c>
      <c r="D33" s="127">
        <f>'Wholesale Avoided Capacity'!F22</f>
        <v>76.849999999999994</v>
      </c>
      <c r="E33" s="127">
        <f>'Wholesale Avoided Capacity'!G22</f>
        <v>106.09893293760001</v>
      </c>
      <c r="G33" s="139">
        <f>SUMIFS('DRIPE - Cleared'!$B$7:$B$24,'DRIPE - Cleared'!$A$7:$A$24,Summary!$A33)</f>
        <v>0</v>
      </c>
      <c r="H33" s="139">
        <f>'DRIPE - Uncleared'!B16</f>
        <v>1302.6535472434032</v>
      </c>
      <c r="I33" s="139">
        <f t="shared" si="0"/>
        <v>0</v>
      </c>
      <c r="J33" s="139">
        <f t="shared" si="1"/>
        <v>1543.7257390647808</v>
      </c>
      <c r="L33" s="139"/>
      <c r="M33" s="139"/>
      <c r="N33" s="139"/>
      <c r="O33" s="139"/>
    </row>
    <row r="34" spans="1:15" x14ac:dyDescent="0.3">
      <c r="A34">
        <f>'Wholesale Avoided Capacity'!A23</f>
        <v>2028</v>
      </c>
      <c r="B34" s="127">
        <f>'Wholesale Avoided Capacity'!C23</f>
        <v>82.490000000000009</v>
      </c>
      <c r="C34" s="127">
        <f>'Wholesale Avoided Capacity'!D23</f>
        <v>94.781010000000009</v>
      </c>
      <c r="D34" s="127">
        <f>'Wholesale Avoided Capacity'!F23</f>
        <v>82.490000000000009</v>
      </c>
      <c r="E34" s="127">
        <f>'Wholesale Avoided Capacity'!G23</f>
        <v>112.32141118502403</v>
      </c>
      <c r="G34" s="139">
        <f>SUMIFS('DRIPE - Cleared'!$B$7:$B$24,'DRIPE - Cleared'!$A$7:$A$24,Summary!$A34)</f>
        <v>0</v>
      </c>
      <c r="H34" s="139">
        <f>'DRIPE - Uncleared'!B17</f>
        <v>982.70768249568687</v>
      </c>
      <c r="I34" s="139">
        <f t="shared" si="0"/>
        <v>0</v>
      </c>
      <c r="J34" s="139">
        <f t="shared" si="1"/>
        <v>1164.569924716777</v>
      </c>
      <c r="L34" s="139"/>
      <c r="M34" s="139"/>
      <c r="N34" s="139"/>
      <c r="O34" s="139"/>
    </row>
    <row r="35" spans="1:15" x14ac:dyDescent="0.3">
      <c r="A35">
        <f>'Wholesale Avoided Capacity'!A24</f>
        <v>2029</v>
      </c>
      <c r="B35" s="127">
        <f>'Wholesale Avoided Capacity'!C24</f>
        <v>88.13</v>
      </c>
      <c r="C35" s="127">
        <f>'Wholesale Avoided Capacity'!D24</f>
        <v>100.99697999999999</v>
      </c>
      <c r="D35" s="127">
        <f>'Wholesale Avoided Capacity'!F24</f>
        <v>88.13</v>
      </c>
      <c r="E35" s="127">
        <f>'Wholesale Avoided Capacity'!G24</f>
        <v>119.68772351155201</v>
      </c>
      <c r="G35" s="139">
        <f>SUMIFS('DRIPE - Cleared'!$B$7:$B$24,'DRIPE - Cleared'!$A$7:$A$24,Summary!$A35)</f>
        <v>0</v>
      </c>
      <c r="H35" s="139">
        <f>'DRIPE - Uncleared'!B18</f>
        <v>657.58151415887187</v>
      </c>
      <c r="I35" s="139">
        <f t="shared" si="0"/>
        <v>0</v>
      </c>
      <c r="J35" s="139">
        <f t="shared" si="1"/>
        <v>779.27512736474682</v>
      </c>
      <c r="L35" s="139"/>
      <c r="M35" s="139"/>
      <c r="N35" s="139"/>
      <c r="O35" s="139"/>
    </row>
    <row r="36" spans="1:15" x14ac:dyDescent="0.3">
      <c r="A36">
        <f>'Wholesale Avoided Capacity'!A25</f>
        <v>2030</v>
      </c>
      <c r="B36" s="127">
        <f>'Wholesale Avoided Capacity'!C25</f>
        <v>83.9</v>
      </c>
      <c r="C36" s="127">
        <f>'Wholesale Avoided Capacity'!D25</f>
        <v>97.743500000000012</v>
      </c>
      <c r="D36" s="127">
        <f>'Wholesale Avoided Capacity'!F25</f>
        <v>83.9</v>
      </c>
      <c r="E36" s="127">
        <f>'Wholesale Avoided Capacity'!G25</f>
        <v>115.83214669440004</v>
      </c>
      <c r="G36" s="139">
        <f>SUMIFS('DRIPE - Cleared'!$B$7:$B$24,'DRIPE - Cleared'!$A$7:$A$24,Summary!$A36)</f>
        <v>0</v>
      </c>
      <c r="H36" s="139">
        <f>'DRIPE - Uncleared'!B19</f>
        <v>325.6633868108508</v>
      </c>
      <c r="I36" s="139">
        <f t="shared" si="0"/>
        <v>0</v>
      </c>
      <c r="J36" s="139">
        <f t="shared" si="1"/>
        <v>385.9314347661952</v>
      </c>
      <c r="L36" s="139"/>
      <c r="M36" s="139"/>
      <c r="N36" s="139"/>
      <c r="O36" s="139"/>
    </row>
    <row r="37" spans="1:15" x14ac:dyDescent="0.3">
      <c r="A37">
        <f>'Wholesale Avoided Capacity'!A26</f>
        <v>2031</v>
      </c>
      <c r="B37" s="127">
        <f>'Wholesale Avoided Capacity'!C26</f>
        <v>82.490000000000009</v>
      </c>
      <c r="C37" s="127">
        <f>'Wholesale Avoided Capacity'!D26</f>
        <v>94.781010000000009</v>
      </c>
      <c r="D37" s="127">
        <f>'Wholesale Avoided Capacity'!F26</f>
        <v>82.490000000000009</v>
      </c>
      <c r="E37" s="127">
        <f>'Wholesale Avoided Capacity'!G26</f>
        <v>112.32141118502403</v>
      </c>
      <c r="G37" s="139">
        <f>SUMIFS('DRIPE - Cleared'!$B$7:$B$24,'DRIPE - Cleared'!$A$7:$A$24,Summary!$A37)</f>
        <v>0</v>
      </c>
      <c r="H37" s="139">
        <f>'DRIPE - Uncleared'!B20</f>
        <v>159.97566924348396</v>
      </c>
      <c r="I37" s="139">
        <f t="shared" si="0"/>
        <v>0</v>
      </c>
      <c r="J37" s="139">
        <f t="shared" si="1"/>
        <v>189.58115053528931</v>
      </c>
      <c r="L37" s="139"/>
      <c r="M37" s="139"/>
      <c r="N37" s="139"/>
      <c r="O37" s="139"/>
    </row>
    <row r="38" spans="1:15" x14ac:dyDescent="0.3">
      <c r="A38">
        <f>'Wholesale Avoided Capacity'!A27</f>
        <v>2032</v>
      </c>
      <c r="B38" s="127">
        <f>'Wholesale Avoided Capacity'!C27</f>
        <v>88.13</v>
      </c>
      <c r="C38" s="127">
        <f>'Wholesale Avoided Capacity'!D27</f>
        <v>100.99697999999999</v>
      </c>
      <c r="D38" s="127">
        <f>'Wholesale Avoided Capacity'!F27</f>
        <v>88.13</v>
      </c>
      <c r="E38" s="127">
        <f>'Wholesale Avoided Capacity'!G27</f>
        <v>119.68772351155201</v>
      </c>
      <c r="G38" s="139">
        <f>SUMIFS('DRIPE - Cleared'!$B$7:$B$24,'DRIPE - Cleared'!$A$7:$A$24,Summary!$A38)</f>
        <v>0</v>
      </c>
      <c r="H38" s="139">
        <f>'DRIPE - Uncleared'!B21</f>
        <v>48.709741789546065</v>
      </c>
      <c r="I38" s="139">
        <f t="shared" si="0"/>
        <v>0</v>
      </c>
      <c r="J38" s="139">
        <f t="shared" si="1"/>
        <v>57.72408350849976</v>
      </c>
      <c r="L38" s="139"/>
      <c r="M38" s="139"/>
      <c r="N38" s="139"/>
      <c r="O38" s="139"/>
    </row>
    <row r="39" spans="1:15" x14ac:dyDescent="0.3">
      <c r="A39">
        <f>'Wholesale Avoided Capacity'!A28</f>
        <v>2033</v>
      </c>
      <c r="B39" s="127">
        <f>'Wholesale Avoided Capacity'!C28</f>
        <v>83.9</v>
      </c>
      <c r="C39" s="127">
        <f>'Wholesale Avoided Capacity'!D28</f>
        <v>97.743500000000012</v>
      </c>
      <c r="D39" s="127">
        <f>'Wholesale Avoided Capacity'!F28</f>
        <v>83.9</v>
      </c>
      <c r="E39" s="127">
        <f>'Wholesale Avoided Capacity'!G28</f>
        <v>115.83214669440004</v>
      </c>
      <c r="G39" s="139">
        <f>SUMIFS('DRIPE - Cleared'!$B$7:$B$24,'DRIPE - Cleared'!$A$7:$A$24,Summary!$A39)</f>
        <v>0</v>
      </c>
      <c r="H39" s="139">
        <f>'DRIPE - Uncleared'!B22</f>
        <v>0</v>
      </c>
      <c r="I39" s="139">
        <f t="shared" si="0"/>
        <v>0</v>
      </c>
      <c r="J39" s="139">
        <f t="shared" si="1"/>
        <v>0</v>
      </c>
      <c r="L39" s="139"/>
      <c r="M39" s="139"/>
      <c r="N39" s="139"/>
      <c r="O39" s="139"/>
    </row>
    <row r="40" spans="1:15" x14ac:dyDescent="0.3">
      <c r="A40">
        <f>'Wholesale Avoided Capacity'!A29</f>
        <v>2034</v>
      </c>
      <c r="B40" s="127">
        <f>'Wholesale Avoided Capacity'!C29</f>
        <v>82.490000000000009</v>
      </c>
      <c r="C40" s="127">
        <f>'Wholesale Avoided Capacity'!D29</f>
        <v>94.781010000000009</v>
      </c>
      <c r="D40" s="127">
        <f>'Wholesale Avoided Capacity'!F29</f>
        <v>82.490000000000009</v>
      </c>
      <c r="E40" s="127">
        <f>'Wholesale Avoided Capacity'!G29</f>
        <v>112.32141118502403</v>
      </c>
      <c r="G40" s="139">
        <f>SUMIFS('DRIPE - Cleared'!$B$7:$B$24,'DRIPE - Cleared'!$A$7:$A$24,Summary!$A40)</f>
        <v>0</v>
      </c>
      <c r="H40" s="139">
        <f>'DRIPE - Uncleared'!B23</f>
        <v>0</v>
      </c>
      <c r="I40" s="139">
        <f t="shared" si="0"/>
        <v>0</v>
      </c>
      <c r="J40" s="139">
        <f t="shared" si="1"/>
        <v>0</v>
      </c>
      <c r="L40" s="139"/>
      <c r="M40" s="139"/>
      <c r="N40" s="139"/>
      <c r="O40" s="139"/>
    </row>
    <row r="41" spans="1:15" x14ac:dyDescent="0.3">
      <c r="A41">
        <f>'Wholesale Avoided Capacity'!A30</f>
        <v>2035</v>
      </c>
      <c r="B41" s="127">
        <f>'Wholesale Avoided Capacity'!C30</f>
        <v>88.13</v>
      </c>
      <c r="C41" s="127">
        <f>'Wholesale Avoided Capacity'!D30</f>
        <v>100.99697999999999</v>
      </c>
      <c r="D41" s="127">
        <f>'Wholesale Avoided Capacity'!F30</f>
        <v>88.13</v>
      </c>
      <c r="E41" s="127">
        <f>'Wholesale Avoided Capacity'!G30</f>
        <v>119.68772351155201</v>
      </c>
      <c r="G41" s="139">
        <f>SUMIFS('DRIPE - Cleared'!$B$7:$B$24,'DRIPE - Cleared'!$A$7:$A$24,Summary!$A41)</f>
        <v>0</v>
      </c>
      <c r="H41" s="139">
        <f>'DRIPE - Uncleared'!B24</f>
        <v>0</v>
      </c>
      <c r="I41" s="139">
        <f t="shared" si="0"/>
        <v>0</v>
      </c>
      <c r="J41" s="139">
        <f t="shared" si="1"/>
        <v>0</v>
      </c>
      <c r="L41" s="139"/>
      <c r="M41" s="139"/>
      <c r="N41" s="139"/>
      <c r="O41" s="139"/>
    </row>
  </sheetData>
  <mergeCells count="9">
    <mergeCell ref="L21:O21"/>
    <mergeCell ref="L22:M22"/>
    <mergeCell ref="N22:O22"/>
    <mergeCell ref="D22:E22"/>
    <mergeCell ref="B22:C22"/>
    <mergeCell ref="B21:E21"/>
    <mergeCell ref="G21:J21"/>
    <mergeCell ref="G22:H22"/>
    <mergeCell ref="I22:J22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1"/>
  <sheetViews>
    <sheetView workbookViewId="0">
      <selection activeCell="J27" sqref="J27"/>
    </sheetView>
  </sheetViews>
  <sheetFormatPr defaultRowHeight="14.4" x14ac:dyDescent="0.3"/>
  <sheetData>
    <row r="1" spans="1:8" ht="23.4" x14ac:dyDescent="0.45">
      <c r="A1" s="80" t="s">
        <v>151</v>
      </c>
    </row>
    <row r="2" spans="1:8" x14ac:dyDescent="0.3">
      <c r="A2" s="8"/>
    </row>
    <row r="4" spans="1:8" ht="20.399999999999999" thickBot="1" x14ac:dyDescent="0.45">
      <c r="A4" s="79" t="s">
        <v>88</v>
      </c>
      <c r="B4" s="79"/>
      <c r="C4" s="79"/>
      <c r="D4" s="79"/>
      <c r="E4" s="79"/>
      <c r="F4" s="79"/>
      <c r="G4" s="79"/>
      <c r="H4" s="79"/>
    </row>
    <row r="5" spans="1:8" ht="15.6" thickTop="1" thickBot="1" x14ac:dyDescent="0.35">
      <c r="A5" s="7" t="s">
        <v>24</v>
      </c>
      <c r="B5" s="52">
        <f>Summary!B7</f>
        <v>2018</v>
      </c>
      <c r="E5" s="7" t="str">
        <f>Summary!A11</f>
        <v>Wholesale Risk Premium (WRP)</v>
      </c>
      <c r="H5" s="52">
        <f>Summary!B11</f>
        <v>0.08</v>
      </c>
    </row>
    <row r="6" spans="1:8" ht="15.6" thickTop="1" thickBot="1" x14ac:dyDescent="0.35">
      <c r="A6" s="7" t="s">
        <v>25</v>
      </c>
      <c r="B6" s="52">
        <f>Summary!B8</f>
        <v>100</v>
      </c>
      <c r="E6" s="7" t="str">
        <f>Summary!A12</f>
        <v>Distribution Losses (DL)</v>
      </c>
      <c r="H6" s="52">
        <f>Summary!B12</f>
        <v>0.08</v>
      </c>
    </row>
    <row r="7" spans="1:8" ht="15.6" thickTop="1" thickBot="1" x14ac:dyDescent="0.35">
      <c r="A7" s="7" t="s">
        <v>26</v>
      </c>
      <c r="B7" s="52">
        <f>Summary!B9</f>
        <v>0.5</v>
      </c>
      <c r="E7" s="7" t="str">
        <f>Summary!A13</f>
        <v>PTF losses (PTF)</v>
      </c>
      <c r="H7" s="52">
        <f>Summary!B13</f>
        <v>1.6E-2</v>
      </c>
    </row>
    <row r="8" spans="1:8" ht="15" thickTop="1" x14ac:dyDescent="0.3"/>
    <row r="9" spans="1:8" ht="15" thickBot="1" x14ac:dyDescent="0.35">
      <c r="A9" s="7" t="s">
        <v>152</v>
      </c>
      <c r="B9" s="138">
        <f>Summary!B15</f>
        <v>0</v>
      </c>
    </row>
    <row r="10" spans="1:8" ht="15" thickTop="1" x14ac:dyDescent="0.3">
      <c r="B10" s="122"/>
    </row>
    <row r="11" spans="1:8" x14ac:dyDescent="0.3">
      <c r="B11" s="122" t="s">
        <v>156</v>
      </c>
      <c r="C11" s="122"/>
      <c r="E11" s="122" t="s">
        <v>157</v>
      </c>
      <c r="F11" s="122"/>
    </row>
    <row r="12" spans="1:8" x14ac:dyDescent="0.3">
      <c r="B12" s="123" t="s">
        <v>102</v>
      </c>
      <c r="C12" s="123"/>
      <c r="D12" s="122"/>
      <c r="E12" s="123" t="s">
        <v>102</v>
      </c>
      <c r="F12" s="123"/>
    </row>
    <row r="13" spans="1:8" ht="15" thickBot="1" x14ac:dyDescent="0.35">
      <c r="A13" s="131" t="s">
        <v>1</v>
      </c>
      <c r="B13" s="128" t="s">
        <v>93</v>
      </c>
      <c r="C13" s="128" t="s">
        <v>103</v>
      </c>
      <c r="D13" s="96"/>
      <c r="E13" s="128" t="s">
        <v>93</v>
      </c>
      <c r="F13" s="128" t="s">
        <v>103</v>
      </c>
    </row>
    <row r="14" spans="1:8" ht="15" thickTop="1" x14ac:dyDescent="0.3">
      <c r="A14">
        <v>2018</v>
      </c>
      <c r="B14" s="126">
        <f>$B$9*INDEX('Reliability Schedules'!$B$9:$D$26,MATCH($A14,'Reliability Schedules'!$A$9:$A$26,0),MATCH(Reliability!$B$5,'Reliability Schedules'!$B$8:$D$8,0))</f>
        <v>0</v>
      </c>
      <c r="C14" s="126">
        <f>$B$9*INDEX('Reliability Schedules'!$E$9:$G$25,MATCH($A14,'Reliability Schedules'!$A$9:$A$26,0),MATCH(Reliability!$B$5,'Reliability Schedules'!$E$8:$G$8,0))*SUMIFS('Avoided Cap LFE (Addendum T2)'!$AJ:$AJ,'Avoided Cap LFE (Addendum T2)'!$AG:$AG,Reliability!$A14)</f>
        <v>0</v>
      </c>
      <c r="E14" s="126">
        <f>B14*(1+$H$6)</f>
        <v>0</v>
      </c>
      <c r="F14" s="126">
        <f>C14*(1+$H$5)*(1+$H$6)*(1+$H$7)</f>
        <v>0</v>
      </c>
    </row>
    <row r="15" spans="1:8" x14ac:dyDescent="0.3">
      <c r="A15">
        <f>A14+1</f>
        <v>2019</v>
      </c>
      <c r="B15" s="126">
        <f>$B$9*INDEX('Reliability Schedules'!$B$9:$D$26,MATCH($A15,'Reliability Schedules'!$A$9:$A$26,0),MATCH(Reliability!$B$5,'Reliability Schedules'!$B$8:$D$8,0))</f>
        <v>0</v>
      </c>
      <c r="C15" s="126">
        <f>$B$9*INDEX('Reliability Schedules'!$E$9:$G$25,MATCH($A15,'Reliability Schedules'!$A$9:$A$26,0),MATCH(Reliability!$B$5,'Reliability Schedules'!$E$8:$G$8,0))*SUMIFS('Avoided Cap LFE (Addendum T2)'!$AJ:$AJ,'Avoided Cap LFE (Addendum T2)'!$AG:$AG,Reliability!$A15)</f>
        <v>0</v>
      </c>
      <c r="E15" s="126">
        <f t="shared" ref="E15:E31" si="0">B15*(1+$H$6)</f>
        <v>0</v>
      </c>
      <c r="F15" s="126">
        <f t="shared" ref="F15:F31" si="1">C15*(1+$H$5)*(1+$H$6)*(1+$H$7)</f>
        <v>0</v>
      </c>
    </row>
    <row r="16" spans="1:8" x14ac:dyDescent="0.3">
      <c r="A16">
        <f t="shared" ref="A16:A31" si="2">A15+1</f>
        <v>2020</v>
      </c>
      <c r="B16" s="126">
        <f>$B$9*INDEX('Reliability Schedules'!$B$9:$D$26,MATCH($A16,'Reliability Schedules'!$A$9:$A$26,0),MATCH(Reliability!$B$5,'Reliability Schedules'!$B$8:$D$8,0))</f>
        <v>0</v>
      </c>
      <c r="C16" s="126">
        <f>$B$9*INDEX('Reliability Schedules'!$E$9:$G$25,MATCH($A16,'Reliability Schedules'!$A$9:$A$26,0),MATCH(Reliability!$B$5,'Reliability Schedules'!$E$8:$G$8,0))*SUMIFS('Avoided Cap LFE (Addendum T2)'!$AJ:$AJ,'Avoided Cap LFE (Addendum T2)'!$AG:$AG,Reliability!$A16)</f>
        <v>0</v>
      </c>
      <c r="E16" s="126">
        <f t="shared" si="0"/>
        <v>0</v>
      </c>
      <c r="F16" s="126">
        <f t="shared" si="1"/>
        <v>0</v>
      </c>
    </row>
    <row r="17" spans="1:6" x14ac:dyDescent="0.3">
      <c r="A17">
        <f t="shared" si="2"/>
        <v>2021</v>
      </c>
      <c r="B17" s="126">
        <f>$B$9*INDEX('Reliability Schedules'!$B$9:$D$26,MATCH($A17,'Reliability Schedules'!$A$9:$A$26,0),MATCH(Reliability!$B$5,'Reliability Schedules'!$B$8:$D$8,0))</f>
        <v>0</v>
      </c>
      <c r="C17" s="126">
        <f>$B$9*INDEX('Reliability Schedules'!$E$9:$G$25,MATCH($A17,'Reliability Schedules'!$A$9:$A$26,0),MATCH(Reliability!$B$5,'Reliability Schedules'!$E$8:$G$8,0))*SUMIFS('Avoided Cap LFE (Addendum T2)'!$AJ:$AJ,'Avoided Cap LFE (Addendum T2)'!$AG:$AG,Reliability!$A17)</f>
        <v>0</v>
      </c>
      <c r="E17" s="126">
        <f t="shared" si="0"/>
        <v>0</v>
      </c>
      <c r="F17" s="126">
        <f t="shared" si="1"/>
        <v>0</v>
      </c>
    </row>
    <row r="18" spans="1:6" x14ac:dyDescent="0.3">
      <c r="A18">
        <f t="shared" si="2"/>
        <v>2022</v>
      </c>
      <c r="B18" s="126">
        <f>$B$9*INDEX('Reliability Schedules'!$B$9:$D$26,MATCH($A18,'Reliability Schedules'!$A$9:$A$26,0),MATCH(Reliability!$B$5,'Reliability Schedules'!$B$8:$D$8,0))</f>
        <v>0</v>
      </c>
      <c r="C18" s="126">
        <f>$B$9*INDEX('Reliability Schedules'!$E$9:$G$25,MATCH($A18,'Reliability Schedules'!$A$9:$A$26,0),MATCH(Reliability!$B$5,'Reliability Schedules'!$E$8:$G$8,0))*SUMIFS('Avoided Cap LFE (Addendum T2)'!$AJ:$AJ,'Avoided Cap LFE (Addendum T2)'!$AG:$AG,Reliability!$A18)</f>
        <v>0</v>
      </c>
      <c r="E18" s="126">
        <f t="shared" si="0"/>
        <v>0</v>
      </c>
      <c r="F18" s="126">
        <f t="shared" si="1"/>
        <v>0</v>
      </c>
    </row>
    <row r="19" spans="1:6" x14ac:dyDescent="0.3">
      <c r="A19">
        <f t="shared" si="2"/>
        <v>2023</v>
      </c>
      <c r="B19" s="126">
        <f>$B$9*INDEX('Reliability Schedules'!$B$9:$D$26,MATCH($A19,'Reliability Schedules'!$A$9:$A$26,0),MATCH(Reliability!$B$5,'Reliability Schedules'!$B$8:$D$8,0))</f>
        <v>0</v>
      </c>
      <c r="C19" s="126">
        <f>$B$9*INDEX('Reliability Schedules'!$E$9:$G$25,MATCH($A19,'Reliability Schedules'!$A$9:$A$26,0),MATCH(Reliability!$B$5,'Reliability Schedules'!$E$8:$G$8,0))*SUMIFS('Avoided Cap LFE (Addendum T2)'!$AJ:$AJ,'Avoided Cap LFE (Addendum T2)'!$AG:$AG,Reliability!$A19)</f>
        <v>0</v>
      </c>
      <c r="E19" s="126">
        <f t="shared" si="0"/>
        <v>0</v>
      </c>
      <c r="F19" s="126">
        <f t="shared" si="1"/>
        <v>0</v>
      </c>
    </row>
    <row r="20" spans="1:6" x14ac:dyDescent="0.3">
      <c r="A20">
        <f t="shared" si="2"/>
        <v>2024</v>
      </c>
      <c r="B20" s="126">
        <f>$B$9*INDEX('Reliability Schedules'!$B$9:$D$26,MATCH($A20,'Reliability Schedules'!$A$9:$A$26,0),MATCH(Reliability!$B$5,'Reliability Schedules'!$B$8:$D$8,0))</f>
        <v>0</v>
      </c>
      <c r="C20" s="126">
        <f>$B$9*INDEX('Reliability Schedules'!$E$9:$G$25,MATCH($A20,'Reliability Schedules'!$A$9:$A$26,0),MATCH(Reliability!$B$5,'Reliability Schedules'!$E$8:$G$8,0))*SUMIFS('Avoided Cap LFE (Addendum T2)'!$AJ:$AJ,'Avoided Cap LFE (Addendum T2)'!$AG:$AG,Reliability!$A20)</f>
        <v>0</v>
      </c>
      <c r="E20" s="126">
        <f t="shared" si="0"/>
        <v>0</v>
      </c>
      <c r="F20" s="126">
        <f t="shared" si="1"/>
        <v>0</v>
      </c>
    </row>
    <row r="21" spans="1:6" x14ac:dyDescent="0.3">
      <c r="A21">
        <f t="shared" si="2"/>
        <v>2025</v>
      </c>
      <c r="B21" s="126">
        <f>$B$9*INDEX('Reliability Schedules'!$B$9:$D$26,MATCH($A21,'Reliability Schedules'!$A$9:$A$26,0),MATCH(Reliability!$B$5,'Reliability Schedules'!$B$8:$D$8,0))</f>
        <v>0</v>
      </c>
      <c r="C21" s="126">
        <f>$B$9*INDEX('Reliability Schedules'!$E$9:$G$25,MATCH($A21,'Reliability Schedules'!$A$9:$A$26,0),MATCH(Reliability!$B$5,'Reliability Schedules'!$E$8:$G$8,0))*SUMIFS('Avoided Cap LFE (Addendum T2)'!$AJ:$AJ,'Avoided Cap LFE (Addendum T2)'!$AG:$AG,Reliability!$A21)</f>
        <v>0</v>
      </c>
      <c r="E21" s="126">
        <f t="shared" si="0"/>
        <v>0</v>
      </c>
      <c r="F21" s="126">
        <f t="shared" si="1"/>
        <v>0</v>
      </c>
    </row>
    <row r="22" spans="1:6" x14ac:dyDescent="0.3">
      <c r="A22">
        <f t="shared" si="2"/>
        <v>2026</v>
      </c>
      <c r="B22" s="126">
        <f>$B$9*INDEX('Reliability Schedules'!$B$9:$D$26,MATCH($A22,'Reliability Schedules'!$A$9:$A$26,0),MATCH(Reliability!$B$5,'Reliability Schedules'!$B$8:$D$8,0))</f>
        <v>0</v>
      </c>
      <c r="C22" s="126">
        <f>$B$9*INDEX('Reliability Schedules'!$E$9:$G$25,MATCH($A22,'Reliability Schedules'!$A$9:$A$26,0),MATCH(Reliability!$B$5,'Reliability Schedules'!$E$8:$G$8,0))*SUMIFS('Avoided Cap LFE (Addendum T2)'!$AJ:$AJ,'Avoided Cap LFE (Addendum T2)'!$AG:$AG,Reliability!$A22)</f>
        <v>0</v>
      </c>
      <c r="E22" s="126">
        <f t="shared" si="0"/>
        <v>0</v>
      </c>
      <c r="F22" s="126">
        <f t="shared" si="1"/>
        <v>0</v>
      </c>
    </row>
    <row r="23" spans="1:6" x14ac:dyDescent="0.3">
      <c r="A23">
        <f t="shared" si="2"/>
        <v>2027</v>
      </c>
      <c r="B23" s="126">
        <f>$B$9*INDEX('Reliability Schedules'!$B$9:$D$26,MATCH($A23,'Reliability Schedules'!$A$9:$A$26,0),MATCH(Reliability!$B$5,'Reliability Schedules'!$B$8:$D$8,0))</f>
        <v>0</v>
      </c>
      <c r="C23" s="126">
        <f>$B$9*INDEX('Reliability Schedules'!$E$9:$G$25,MATCH($A23,'Reliability Schedules'!$A$9:$A$26,0),MATCH(Reliability!$B$5,'Reliability Schedules'!$E$8:$G$8,0))*SUMIFS('Avoided Cap LFE (Addendum T2)'!$AJ:$AJ,'Avoided Cap LFE (Addendum T2)'!$AG:$AG,Reliability!$A23)</f>
        <v>0</v>
      </c>
      <c r="E23" s="126">
        <f t="shared" si="0"/>
        <v>0</v>
      </c>
      <c r="F23" s="126">
        <f t="shared" si="1"/>
        <v>0</v>
      </c>
    </row>
    <row r="24" spans="1:6" x14ac:dyDescent="0.3">
      <c r="A24">
        <f t="shared" si="2"/>
        <v>2028</v>
      </c>
      <c r="B24" s="126">
        <f>$B$9*INDEX('Reliability Schedules'!$B$9:$D$26,MATCH($A24,'Reliability Schedules'!$A$9:$A$26,0),MATCH(Reliability!$B$5,'Reliability Schedules'!$B$8:$D$8,0))</f>
        <v>0</v>
      </c>
      <c r="C24" s="126">
        <f>$B$9*INDEX('Reliability Schedules'!$E$9:$G$25,MATCH($A24,'Reliability Schedules'!$A$9:$A$26,0),MATCH(Reliability!$B$5,'Reliability Schedules'!$E$8:$G$8,0))*SUMIFS('Avoided Cap LFE (Addendum T2)'!$AJ:$AJ,'Avoided Cap LFE (Addendum T2)'!$AG:$AG,Reliability!$A24)</f>
        <v>0</v>
      </c>
      <c r="E24" s="126">
        <f t="shared" si="0"/>
        <v>0</v>
      </c>
      <c r="F24" s="126">
        <f t="shared" si="1"/>
        <v>0</v>
      </c>
    </row>
    <row r="25" spans="1:6" x14ac:dyDescent="0.3">
      <c r="A25">
        <f t="shared" si="2"/>
        <v>2029</v>
      </c>
      <c r="B25" s="126">
        <f>$B$9*INDEX('Reliability Schedules'!$B$9:$D$26,MATCH($A25,'Reliability Schedules'!$A$9:$A$26,0),MATCH(Reliability!$B$5,'Reliability Schedules'!$B$8:$D$8,0))</f>
        <v>0</v>
      </c>
      <c r="C25" s="126">
        <f>$B$9*INDEX('Reliability Schedules'!$E$9:$G$25,MATCH($A25,'Reliability Schedules'!$A$9:$A$26,0),MATCH(Reliability!$B$5,'Reliability Schedules'!$E$8:$G$8,0))*SUMIFS('Avoided Cap LFE (Addendum T2)'!$AJ:$AJ,'Avoided Cap LFE (Addendum T2)'!$AG:$AG,Reliability!$A25)</f>
        <v>0</v>
      </c>
      <c r="E25" s="126">
        <f t="shared" si="0"/>
        <v>0</v>
      </c>
      <c r="F25" s="126">
        <f t="shared" si="1"/>
        <v>0</v>
      </c>
    </row>
    <row r="26" spans="1:6" x14ac:dyDescent="0.3">
      <c r="A26">
        <f t="shared" si="2"/>
        <v>2030</v>
      </c>
      <c r="B26" s="126">
        <f>$B$9*INDEX('Reliability Schedules'!$B$9:$D$26,MATCH($A26,'Reliability Schedules'!$A$9:$A$26,0),MATCH(Reliability!$B$5,'Reliability Schedules'!$B$8:$D$8,0))</f>
        <v>0</v>
      </c>
      <c r="C26" s="126">
        <f>$B$9*INDEX('Reliability Schedules'!$E$9:$G$25,MATCH($A26,'Reliability Schedules'!$A$9:$A$26,0),MATCH(Reliability!$B$5,'Reliability Schedules'!$E$8:$G$8,0))*SUMIFS('Avoided Cap LFE (Addendum T2)'!$AJ:$AJ,'Avoided Cap LFE (Addendum T2)'!$AG:$AG,Reliability!$A26)</f>
        <v>0</v>
      </c>
      <c r="E26" s="126">
        <f t="shared" si="0"/>
        <v>0</v>
      </c>
      <c r="F26" s="126">
        <f t="shared" si="1"/>
        <v>0</v>
      </c>
    </row>
    <row r="27" spans="1:6" x14ac:dyDescent="0.3">
      <c r="A27">
        <f t="shared" si="2"/>
        <v>2031</v>
      </c>
      <c r="B27" s="126">
        <f>$B$9*INDEX('Reliability Schedules'!$B$9:$D$26,MATCH($A27,'Reliability Schedules'!$A$9:$A$26,0),MATCH(Reliability!$B$5,'Reliability Schedules'!$B$8:$D$8,0))</f>
        <v>0</v>
      </c>
      <c r="C27" s="126">
        <f>$B$9*INDEX('Reliability Schedules'!$E$9:$G$25,MATCH($A27,'Reliability Schedules'!$A$9:$A$26,0),MATCH(Reliability!$B$5,'Reliability Schedules'!$E$8:$G$8,0))*SUMIFS('Avoided Cap LFE (Addendum T2)'!$AJ:$AJ,'Avoided Cap LFE (Addendum T2)'!$AG:$AG,Reliability!$A27)</f>
        <v>0</v>
      </c>
      <c r="E27" s="126">
        <f t="shared" si="0"/>
        <v>0</v>
      </c>
      <c r="F27" s="126">
        <f t="shared" si="1"/>
        <v>0</v>
      </c>
    </row>
    <row r="28" spans="1:6" x14ac:dyDescent="0.3">
      <c r="A28">
        <f t="shared" si="2"/>
        <v>2032</v>
      </c>
      <c r="B28" s="126">
        <f>$B$9*INDEX('Reliability Schedules'!$B$9:$D$26,MATCH($A28,'Reliability Schedules'!$A$9:$A$26,0),MATCH(Reliability!$B$5,'Reliability Schedules'!$B$8:$D$8,0))</f>
        <v>0</v>
      </c>
      <c r="C28" s="126">
        <f>$B$9*INDEX('Reliability Schedules'!$E$9:$G$25,MATCH($A28,'Reliability Schedules'!$A$9:$A$26,0),MATCH(Reliability!$B$5,'Reliability Schedules'!$E$8:$G$8,0))*SUMIFS('Avoided Cap LFE (Addendum T2)'!$AJ:$AJ,'Avoided Cap LFE (Addendum T2)'!$AG:$AG,Reliability!$A28)</f>
        <v>0</v>
      </c>
      <c r="E28" s="126">
        <f t="shared" si="0"/>
        <v>0</v>
      </c>
      <c r="F28" s="126">
        <f t="shared" si="1"/>
        <v>0</v>
      </c>
    </row>
    <row r="29" spans="1:6" x14ac:dyDescent="0.3">
      <c r="A29">
        <f t="shared" si="2"/>
        <v>2033</v>
      </c>
      <c r="B29" s="126">
        <f>$B$9*INDEX('Reliability Schedules'!$B$9:$D$26,MATCH($A29,'Reliability Schedules'!$A$9:$A$26,0),MATCH(Reliability!$B$5,'Reliability Schedules'!$B$8:$D$8,0))</f>
        <v>0</v>
      </c>
      <c r="C29" s="126">
        <f>$B$9*INDEX('Reliability Schedules'!$E$9:$G$25,MATCH($A29,'Reliability Schedules'!$A$9:$A$26,0),MATCH(Reliability!$B$5,'Reliability Schedules'!$E$8:$G$8,0))*SUMIFS('Avoided Cap LFE (Addendum T2)'!$AJ:$AJ,'Avoided Cap LFE (Addendum T2)'!$AG:$AG,Reliability!$A29)</f>
        <v>0</v>
      </c>
      <c r="E29" s="126">
        <f t="shared" si="0"/>
        <v>0</v>
      </c>
      <c r="F29" s="126">
        <f t="shared" si="1"/>
        <v>0</v>
      </c>
    </row>
    <row r="30" spans="1:6" x14ac:dyDescent="0.3">
      <c r="A30">
        <f t="shared" si="2"/>
        <v>2034</v>
      </c>
      <c r="B30" s="126">
        <f>$B$9*INDEX('Reliability Schedules'!$B$9:$D$26,MATCH($A30,'Reliability Schedules'!$A$9:$A$26,0),MATCH(Reliability!$B$5,'Reliability Schedules'!$B$8:$D$8,0))</f>
        <v>0</v>
      </c>
      <c r="C30" s="126">
        <f>$B$9*INDEX('Reliability Schedules'!$E$9:$G$25,MATCH($A30,'Reliability Schedules'!$A$9:$A$26,0),MATCH(Reliability!$B$5,'Reliability Schedules'!$E$8:$G$8,0))*SUMIFS('Avoided Cap LFE (Addendum T2)'!$AJ:$AJ,'Avoided Cap LFE (Addendum T2)'!$AG:$AG,Reliability!$A30)</f>
        <v>0</v>
      </c>
      <c r="E30" s="126">
        <f t="shared" si="0"/>
        <v>0</v>
      </c>
      <c r="F30" s="126">
        <f t="shared" si="1"/>
        <v>0</v>
      </c>
    </row>
    <row r="31" spans="1:6" x14ac:dyDescent="0.3">
      <c r="A31">
        <f t="shared" si="2"/>
        <v>2035</v>
      </c>
      <c r="B31" s="126">
        <f>$B$9*INDEX('Reliability Schedules'!$B$9:$D$26,MATCH($A31,'Reliability Schedules'!$A$9:$A$26,0),MATCH(Reliability!$B$5,'Reliability Schedules'!$B$8:$D$8,0))</f>
        <v>0</v>
      </c>
      <c r="C31" s="126">
        <v>0</v>
      </c>
      <c r="E31" s="126">
        <f t="shared" si="0"/>
        <v>0</v>
      </c>
      <c r="F31" s="126">
        <f t="shared" si="1"/>
        <v>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5:G27"/>
  <sheetViews>
    <sheetView workbookViewId="0">
      <selection activeCell="J27" sqref="J27"/>
    </sheetView>
  </sheetViews>
  <sheetFormatPr defaultRowHeight="14.4" x14ac:dyDescent="0.3"/>
  <sheetData>
    <row r="5" spans="1:7" ht="15.6" x14ac:dyDescent="0.3">
      <c r="A5" s="82" t="s">
        <v>153</v>
      </c>
    </row>
    <row r="7" spans="1:7" x14ac:dyDescent="0.3">
      <c r="A7" s="275" t="s">
        <v>50</v>
      </c>
      <c r="B7" s="276" t="s">
        <v>154</v>
      </c>
      <c r="C7" s="276"/>
      <c r="D7" s="276"/>
      <c r="E7" s="276" t="s">
        <v>155</v>
      </c>
      <c r="F7" s="276"/>
      <c r="G7" s="276"/>
    </row>
    <row r="8" spans="1:7" x14ac:dyDescent="0.3">
      <c r="A8" s="275"/>
      <c r="B8" s="133">
        <v>2018</v>
      </c>
      <c r="C8" s="133">
        <v>2019</v>
      </c>
      <c r="D8" s="133">
        <v>2020</v>
      </c>
      <c r="E8" s="133">
        <v>2018</v>
      </c>
      <c r="F8" s="133">
        <v>2019</v>
      </c>
      <c r="G8" s="133">
        <v>2020</v>
      </c>
    </row>
    <row r="9" spans="1:7" x14ac:dyDescent="0.3">
      <c r="A9" s="134">
        <v>2018</v>
      </c>
      <c r="B9" s="135">
        <v>0.21299999999999999</v>
      </c>
      <c r="C9" s="135"/>
      <c r="D9" s="135"/>
      <c r="E9" s="85">
        <v>0.66575999999999991</v>
      </c>
      <c r="F9" s="85"/>
      <c r="G9" s="85"/>
    </row>
    <row r="10" spans="1:7" x14ac:dyDescent="0.3">
      <c r="A10" s="134">
        <f>A9+1</f>
        <v>2019</v>
      </c>
      <c r="B10" s="135">
        <v>8.5999999999999993E-2</v>
      </c>
      <c r="C10" s="135">
        <v>0.104</v>
      </c>
      <c r="D10" s="135"/>
      <c r="E10" s="85">
        <v>0.50675399999999993</v>
      </c>
      <c r="F10" s="85">
        <v>0.50675399999999993</v>
      </c>
      <c r="G10" s="85"/>
    </row>
    <row r="11" spans="1:7" x14ac:dyDescent="0.3">
      <c r="A11" s="134">
        <f t="shared" ref="A11:A26" si="0">A10+1</f>
        <v>2020</v>
      </c>
      <c r="B11" s="135">
        <v>3.6999999999999998E-2</v>
      </c>
      <c r="C11" s="135">
        <v>4.5999999999999999E-2</v>
      </c>
      <c r="D11" s="135">
        <v>5.6000000000000001E-2</v>
      </c>
      <c r="E11" s="85">
        <v>0.18559200000000001</v>
      </c>
      <c r="F11" s="85">
        <v>0.18559200000000001</v>
      </c>
      <c r="G11" s="85">
        <v>0.18559200000000001</v>
      </c>
    </row>
    <row r="12" spans="1:7" x14ac:dyDescent="0.3">
      <c r="A12" s="134">
        <f t="shared" si="0"/>
        <v>2021</v>
      </c>
      <c r="B12" s="135">
        <v>1.0999999999999999E-2</v>
      </c>
      <c r="C12" s="135">
        <v>1.4E-2</v>
      </c>
      <c r="D12" s="135">
        <v>1.7999999999999999E-2</v>
      </c>
      <c r="E12" s="85">
        <v>0.31060300000000002</v>
      </c>
      <c r="F12" s="85">
        <v>0.31060300000000002</v>
      </c>
      <c r="G12" s="85">
        <v>0.31060300000000002</v>
      </c>
    </row>
    <row r="13" spans="1:7" x14ac:dyDescent="0.3">
      <c r="A13" s="134">
        <f t="shared" si="0"/>
        <v>2022</v>
      </c>
      <c r="B13" s="135">
        <v>7.0000000000000001E-3</v>
      </c>
      <c r="C13" s="135">
        <v>1.0999999999999999E-2</v>
      </c>
      <c r="D13" s="135">
        <v>1.4E-2</v>
      </c>
      <c r="E13" s="85">
        <v>0.31859999999999999</v>
      </c>
      <c r="F13" s="85">
        <v>0.31859999999999999</v>
      </c>
      <c r="G13" s="85">
        <v>0.31859999999999999</v>
      </c>
    </row>
    <row r="14" spans="1:7" x14ac:dyDescent="0.3">
      <c r="A14" s="134">
        <f t="shared" si="0"/>
        <v>2023</v>
      </c>
      <c r="B14" s="135">
        <v>4.0000000000000001E-3</v>
      </c>
      <c r="C14" s="135">
        <v>8.0000000000000002E-3</v>
      </c>
      <c r="D14" s="135">
        <v>1.2E-2</v>
      </c>
      <c r="E14" s="85">
        <v>0.23502772925764195</v>
      </c>
      <c r="F14" s="85">
        <v>0.32422500000000004</v>
      </c>
      <c r="G14" s="85">
        <v>0.32422500000000004</v>
      </c>
    </row>
    <row r="15" spans="1:7" x14ac:dyDescent="0.3">
      <c r="A15" s="134">
        <f t="shared" si="0"/>
        <v>2024</v>
      </c>
      <c r="B15" s="135"/>
      <c r="C15" s="135">
        <v>4.0000000000000001E-3</v>
      </c>
      <c r="D15" s="135">
        <v>8.0000000000000002E-3</v>
      </c>
      <c r="E15" s="85">
        <v>0.18543926295188282</v>
      </c>
      <c r="F15" s="85">
        <v>0.24962741841004182</v>
      </c>
      <c r="G15" s="85">
        <v>0.34486100000000003</v>
      </c>
    </row>
    <row r="16" spans="1:7" x14ac:dyDescent="0.3">
      <c r="A16" s="134">
        <f t="shared" si="0"/>
        <v>2025</v>
      </c>
      <c r="B16" s="135"/>
      <c r="C16" s="135"/>
      <c r="D16" s="135">
        <v>5.1999999999999998E-2</v>
      </c>
      <c r="E16" s="85">
        <v>0.33107834069767444</v>
      </c>
      <c r="F16" s="85">
        <v>0.35911206007751933</v>
      </c>
      <c r="G16" s="85">
        <v>0.3720395488372093</v>
      </c>
    </row>
    <row r="17" spans="1:7" x14ac:dyDescent="0.3">
      <c r="A17" s="134">
        <f t="shared" si="0"/>
        <v>2026</v>
      </c>
      <c r="B17" s="136"/>
      <c r="C17" s="136"/>
      <c r="D17" s="136"/>
      <c r="E17" s="85">
        <v>0.30503793011363634</v>
      </c>
      <c r="F17" s="85">
        <v>0.36095764289772725</v>
      </c>
      <c r="G17" s="85">
        <v>0.39175060842803022</v>
      </c>
    </row>
    <row r="18" spans="1:7" x14ac:dyDescent="0.3">
      <c r="A18" s="134">
        <f t="shared" si="0"/>
        <v>2027</v>
      </c>
      <c r="B18" s="85"/>
      <c r="C18" s="85"/>
      <c r="D18" s="85"/>
      <c r="E18" s="85">
        <v>0.25624699346775409</v>
      </c>
      <c r="F18" s="85">
        <v>0.33407763287267783</v>
      </c>
      <c r="G18" s="85">
        <v>0.39558204480063436</v>
      </c>
    </row>
    <row r="19" spans="1:7" x14ac:dyDescent="0.3">
      <c r="A19" s="134">
        <f t="shared" si="0"/>
        <v>2028</v>
      </c>
      <c r="B19" s="85"/>
      <c r="C19" s="85"/>
      <c r="D19" s="85"/>
      <c r="E19" s="85">
        <v>0.26155777936531821</v>
      </c>
      <c r="F19" s="85">
        <v>0.36099794893969028</v>
      </c>
      <c r="G19" s="85">
        <v>0.47091489371334044</v>
      </c>
    </row>
    <row r="20" spans="1:7" x14ac:dyDescent="0.3">
      <c r="A20" s="134">
        <f t="shared" si="0"/>
        <v>2029</v>
      </c>
      <c r="B20" s="85"/>
      <c r="C20" s="85"/>
      <c r="D20" s="85"/>
      <c r="E20" s="85">
        <v>0.17098926726074584</v>
      </c>
      <c r="F20" s="85">
        <v>0.27793761045379661</v>
      </c>
      <c r="G20" s="85">
        <v>0.38360513516549338</v>
      </c>
    </row>
    <row r="21" spans="1:7" x14ac:dyDescent="0.3">
      <c r="A21" s="134">
        <f t="shared" si="0"/>
        <v>2030</v>
      </c>
      <c r="B21" s="85"/>
      <c r="C21" s="85"/>
      <c r="D21" s="85"/>
      <c r="E21" s="85">
        <v>6.4168696193928468E-2</v>
      </c>
      <c r="F21" s="85">
        <v>0.11422027922519257</v>
      </c>
      <c r="G21" s="85">
        <v>0.18566142765443289</v>
      </c>
    </row>
    <row r="22" spans="1:7" x14ac:dyDescent="0.3">
      <c r="A22" s="134">
        <f t="shared" si="0"/>
        <v>2031</v>
      </c>
      <c r="B22" s="85"/>
      <c r="C22" s="85"/>
      <c r="D22" s="85"/>
      <c r="E22" s="85">
        <v>4.0378735524139016E-2</v>
      </c>
      <c r="F22" s="85">
        <v>9.040015415852018E-2</v>
      </c>
      <c r="G22" s="85">
        <v>0.16091227440216582</v>
      </c>
    </row>
    <row r="23" spans="1:7" x14ac:dyDescent="0.3">
      <c r="A23" s="134">
        <f t="shared" si="0"/>
        <v>2032</v>
      </c>
      <c r="B23" s="85"/>
      <c r="C23" s="85"/>
      <c r="D23" s="85"/>
      <c r="E23" s="85">
        <v>1.0886957091508172E-2</v>
      </c>
      <c r="F23" s="85">
        <v>4.2907419125355742E-2</v>
      </c>
      <c r="G23" s="85">
        <v>9.6061386101542676E-2</v>
      </c>
    </row>
    <row r="24" spans="1:7" x14ac:dyDescent="0.3">
      <c r="A24" s="134">
        <f t="shared" si="0"/>
        <v>2033</v>
      </c>
      <c r="B24" s="85"/>
      <c r="C24" s="85"/>
      <c r="D24" s="85"/>
      <c r="E24" s="85">
        <v>0</v>
      </c>
      <c r="F24" s="85">
        <v>7.2724522353118937E-3</v>
      </c>
      <c r="G24" s="85">
        <v>2.8662017633288052E-2</v>
      </c>
    </row>
    <row r="25" spans="1:7" x14ac:dyDescent="0.3">
      <c r="A25" s="134">
        <f t="shared" si="0"/>
        <v>2034</v>
      </c>
      <c r="B25" s="85"/>
      <c r="C25" s="85"/>
      <c r="D25" s="85"/>
      <c r="E25" s="85">
        <v>0</v>
      </c>
      <c r="F25" s="85">
        <v>0</v>
      </c>
      <c r="G25" s="85">
        <v>1.0245350804632286E-2</v>
      </c>
    </row>
    <row r="26" spans="1:7" x14ac:dyDescent="0.3">
      <c r="A26" s="134">
        <f t="shared" si="0"/>
        <v>2035</v>
      </c>
      <c r="B26" s="85"/>
      <c r="C26" s="85"/>
      <c r="D26" s="85"/>
      <c r="E26" s="85">
        <v>0</v>
      </c>
      <c r="F26" s="85">
        <v>0</v>
      </c>
      <c r="G26" s="85">
        <v>0</v>
      </c>
    </row>
    <row r="27" spans="1:7" x14ac:dyDescent="0.3">
      <c r="E27" s="85"/>
    </row>
  </sheetData>
  <mergeCells count="3">
    <mergeCell ref="A7:A8"/>
    <mergeCell ref="B7:D7"/>
    <mergeCell ref="E7:G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User Selectable Programs</vt:lpstr>
      <vt:lpstr>Supporting Worksheets&gt;&gt;&gt;</vt:lpstr>
      <vt:lpstr>Capacity Price Forecast</vt:lpstr>
      <vt:lpstr>Avoided Cap LFE (Addendum T2)</vt:lpstr>
      <vt:lpstr>Gross Uncl. DRIPE (Table 145)</vt:lpstr>
      <vt:lpstr>DRIPE LFE (Table 146)</vt:lpstr>
      <vt:lpstr>Summary</vt:lpstr>
      <vt:lpstr>Reliability</vt:lpstr>
      <vt:lpstr>Reliability Schedules</vt:lpstr>
      <vt:lpstr>Wholesale Avoided Capacity</vt:lpstr>
      <vt:lpstr>Sheet2</vt:lpstr>
      <vt:lpstr>Capacity Forecast</vt:lpstr>
      <vt:lpstr>Price Schedule</vt:lpstr>
      <vt:lpstr>DRIPE - Blended</vt:lpstr>
      <vt:lpstr>DRIPE - Uncleared</vt:lpstr>
      <vt:lpstr>DRIPE - Cleared</vt:lpstr>
      <vt:lpstr>DRIPE FCM Bid Responsive Share</vt:lpstr>
      <vt:lpstr>Gross Demand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Griffiths</dc:creator>
  <cp:lastModifiedBy>Bridget Copes</cp:lastModifiedBy>
  <dcterms:created xsi:type="dcterms:W3CDTF">2018-03-26T15:08:11Z</dcterms:created>
  <dcterms:modified xsi:type="dcterms:W3CDTF">2018-06-01T17:47:36Z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{142BA147-348D-4F69-AD35-1A649664EADC}</vt:lpwstr>
  </property>
</Properties>
</file>