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hidePivotFieldList="1" defaultThemeVersion="166925"/>
  <mc:AlternateContent xmlns:mc="http://schemas.openxmlformats.org/markup-compatibility/2006">
    <mc:Choice Requires="x15">
      <x15ac:absPath xmlns:x15ac="http://schemas.microsoft.com/office/spreadsheetml/2010/11/ac" url="C:\Users\emalone\Box\SEE\Projects\21-096 CLC EEFCM\2022-2024 Term\Annual Reports\2022-24 Term Report\CVEO\CVEO Model\"/>
    </mc:Choice>
  </mc:AlternateContent>
  <xr:revisionPtr revIDLastSave="0" documentId="13_ncr:1_{35C1DFF2-F93F-4120-8049-390835FF4D72}" xr6:coauthVersionLast="47" xr6:coauthVersionMax="47" xr10:uidLastSave="{00000000-0000-0000-0000-000000000000}"/>
  <bookViews>
    <workbookView xWindow="-120" yWindow="-120" windowWidth="29040" windowHeight="15720" tabRatio="861" xr2:uid="{B16EF0A2-81F9-4917-92F4-210629A0A587}"/>
  </bookViews>
  <sheets>
    <sheet name="Overview" sheetId="16" r:id="rId1"/>
    <sheet name="Inputs" sheetId="1" r:id="rId2"/>
    <sheet name="Outputs-&gt;" sheetId="40" r:id="rId3"/>
    <sheet name="Summary" sheetId="65" r:id="rId4"/>
    <sheet name="Results" sheetId="54" r:id="rId5"/>
    <sheet name="Variances" sheetId="90" r:id="rId6"/>
    <sheet name="EES" sheetId="93" r:id="rId7"/>
    <sheet name="BillsSummary" sheetId="94" r:id="rId8"/>
    <sheet name="BillsDetail" sheetId="95" r:id="rId9"/>
    <sheet name="ParticipantBills" sheetId="34" r:id="rId10"/>
    <sheet name="Batteries" sheetId="91" r:id="rId11"/>
    <sheet name="Calculations-&gt;" sheetId="41" r:id="rId12"/>
    <sheet name="Annual" sheetId="50" r:id="rId13"/>
    <sheet name="Monthly" sheetId="51" r:id="rId14"/>
    <sheet name="Budget" sheetId="24" r:id="rId15"/>
    <sheet name="HeatPumps" sheetId="28" r:id="rId16"/>
    <sheet name="HEATLoan" sheetId="45" r:id="rId17"/>
    <sheet name="Payback" sheetId="60" r:id="rId18"/>
    <sheet name="LI Subsidy" sheetId="30" r:id="rId19"/>
    <sheet name="LI%" sheetId="49" r:id="rId20"/>
    <sheet name="APS" sheetId="23" r:id="rId21"/>
    <sheet name="RECs" sheetId="64" r:id="rId22"/>
    <sheet name="Sales" sheetId="53" r:id="rId23"/>
    <sheet name="Wholesale" sheetId="52" r:id="rId24"/>
  </sheets>
  <definedNames>
    <definedName name="_xlnm._FilterDatabase" localSheetId="12" hidden="1">Annual!$B$2:$AF$27</definedName>
    <definedName name="_xlnm._FilterDatabase" localSheetId="8" hidden="1">BillsDetail!$A$4:$A$1130</definedName>
    <definedName name="_xlnm._FilterDatabase" localSheetId="15" hidden="1">HeatPumps!$B$7:$AB$43</definedName>
    <definedName name="_xlnm._FilterDatabase" localSheetId="13" hidden="1">Monthly!$B$7:$AJ$190</definedName>
    <definedName name="_xlnm._FilterDatabase" localSheetId="22" hidden="1">Sales!$B$6:$E$6</definedName>
    <definedName name="_xlnm._FilterDatabase" localSheetId="23" hidden="1">Wholesale!$B$11:$Z$336</definedName>
    <definedName name="BI2018v2019">BillsSummary!#REF!</definedName>
    <definedName name="BI2018v2021">BillsSummary!#REF!</definedName>
    <definedName name="BI2019v2020">BillsSummary!#REF!</definedName>
    <definedName name="BI2020v2021">BillsSummary!#REF!</definedName>
    <definedName name="BillPeriodA">#REF!</definedName>
    <definedName name="BillPeriodB">#REF!</definedName>
    <definedName name="calMonth">#REF!</definedName>
    <definedName name="CurrentYr1">#REF!</definedName>
    <definedName name="CurrentYr3">#REF!</definedName>
    <definedName name="monthRange">#REF!</definedName>
    <definedName name="NomDisRateYr2">#REF!</definedName>
    <definedName name="NomDisRateYr3">#REF!</definedName>
    <definedName name="_xlnm.Print_Area" localSheetId="12">Annual!$B$2:$AB$28</definedName>
    <definedName name="_xlnm.Print_Area" localSheetId="20">APS!$B$2:$E$9</definedName>
    <definedName name="_xlnm.Print_Area" localSheetId="10">Batteries!$B$2:$J$16</definedName>
    <definedName name="_xlnm.Print_Area" localSheetId="8">BillsDetail!$A$2:$P$589</definedName>
    <definedName name="_xlnm.Print_Area" localSheetId="7">BillsSummary!$B$2:$I$36</definedName>
    <definedName name="_xlnm.Print_Area" localSheetId="14">Budget!$B$2:$J$25</definedName>
    <definedName name="_xlnm.Print_Area" localSheetId="6">EES!$B$2:$M$28</definedName>
    <definedName name="_xlnm.Print_Area" localSheetId="16">HEATLoan!$B$2:$G$102</definedName>
    <definedName name="_xlnm.Print_Area" localSheetId="15">HeatPumps!$B$2:$R$37</definedName>
    <definedName name="_xlnm.Print_Area" localSheetId="1">Inputs!$B$2:$F$126</definedName>
    <definedName name="_xlnm.Print_Area" localSheetId="18">'LI Subsidy'!$B$2:$I$20</definedName>
    <definedName name="_xlnm.Print_Area" localSheetId="19">'LI%'!$B$2:$J$12</definedName>
    <definedName name="_xlnm.Print_Area" localSheetId="13">Monthly!$B$2:$AB$203</definedName>
    <definedName name="_xlnm.Print_Area" localSheetId="0">Overview!$B$2:$D$29</definedName>
    <definedName name="_xlnm.Print_Area" localSheetId="9">ParticipantBills!$B$2:$AF$55,ParticipantBills!$B$58:$AK$83</definedName>
    <definedName name="_xlnm.Print_Area" localSheetId="17">Payback!$B$2:$H$18</definedName>
    <definedName name="_xlnm.Print_Area" localSheetId="21">RECs!$B$2:$E$14</definedName>
    <definedName name="_xlnm.Print_Area" localSheetId="4">Results!$B$2:$N$49</definedName>
    <definedName name="_xlnm.Print_Area" localSheetId="22">Sales!$B$2:$E$54</definedName>
    <definedName name="_xlnm.Print_Area" localSheetId="3">Summary!$B$2:$V$21</definedName>
    <definedName name="_xlnm.Print_Area" localSheetId="5">Variances!$B$2:$AI$56</definedName>
    <definedName name="_xlnm.Print_Area" localSheetId="23">Wholesale!$B$2:$Z$261</definedName>
    <definedName name="_xlnm.Print_Titles" localSheetId="12">Annual!$B:$F</definedName>
    <definedName name="_xlnm.Print_Titles" localSheetId="20">APS!$3:$4</definedName>
    <definedName name="_xlnm.Print_Titles" localSheetId="14">Budget!$B:$B,Budget!$2:$5</definedName>
    <definedName name="_xlnm.Print_Titles" localSheetId="16">HEATLoan!$2:$16</definedName>
    <definedName name="_xlnm.Print_Titles" localSheetId="15">HeatPumps!$B:$B,HeatPumps!$2:$6</definedName>
    <definedName name="_xlnm.Print_Titles" localSheetId="1">Inputs!$2:$5</definedName>
    <definedName name="_xlnm.Print_Titles" localSheetId="19">'LI%'!$B:$B,'LI%'!$3:$6</definedName>
    <definedName name="_xlnm.Print_Titles" localSheetId="13">Monthly!$B:$F,Monthly!$2:$7</definedName>
    <definedName name="_xlnm.Print_Titles" localSheetId="9">ParticipantBills!$2:$3</definedName>
    <definedName name="_xlnm.Print_Titles" localSheetId="22">Sales!$2:$6</definedName>
    <definedName name="_xlnm.Print_Titles" localSheetId="5">Variances!$B:$C,Variances!$2:$4</definedName>
    <definedName name="_xlnm.Print_Titles" localSheetId="23">Wholesale!$2:$11</definedName>
    <definedName name="reportYear">#REF!</definedName>
    <definedName name="year_3">#REF!</definedName>
    <definedName name="Year1">Inputs!$E$7</definedName>
    <definedName name="Year2">2023</definedName>
    <definedName name="Year3">2024</definedName>
    <definedName name="yearRan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5" l="1"/>
  <c r="C9" i="45" s="1"/>
  <c r="C7" i="45"/>
  <c r="L37" i="28"/>
  <c r="K37" i="28"/>
  <c r="L36" i="28"/>
  <c r="K36" i="28"/>
  <c r="L35" i="28"/>
  <c r="K35" i="28"/>
  <c r="L34" i="28"/>
  <c r="K34" i="28"/>
  <c r="L33" i="28"/>
  <c r="K33" i="28"/>
  <c r="I37" i="28"/>
  <c r="H37" i="28"/>
  <c r="I36" i="28"/>
  <c r="H36" i="28"/>
  <c r="I35" i="28"/>
  <c r="H35" i="28"/>
  <c r="I34" i="28"/>
  <c r="H34" i="28"/>
  <c r="I33" i="28"/>
  <c r="H33" i="28"/>
  <c r="J37" i="28"/>
  <c r="J36" i="28"/>
  <c r="J35" i="28"/>
  <c r="J34" i="28"/>
  <c r="J33" i="28"/>
  <c r="AN51" i="90" l="1"/>
  <c r="AM51" i="90"/>
  <c r="AN50" i="90"/>
  <c r="AM50" i="90"/>
  <c r="AN49" i="90"/>
  <c r="AM49" i="90"/>
  <c r="AL49" i="90"/>
  <c r="AN48" i="90"/>
  <c r="AM48" i="90"/>
  <c r="AN47" i="90"/>
  <c r="AM47" i="90"/>
  <c r="AN46" i="90"/>
  <c r="AM46" i="90"/>
  <c r="AN45" i="90"/>
  <c r="AM45" i="90"/>
  <c r="AN44" i="90"/>
  <c r="AM44" i="90"/>
  <c r="AL44" i="90"/>
  <c r="AN43" i="90"/>
  <c r="AM43" i="90"/>
  <c r="AN42" i="90"/>
  <c r="AM42" i="90"/>
  <c r="K534" i="95" l="1"/>
  <c r="K16" i="95"/>
  <c r="K18" i="95"/>
  <c r="K20" i="93"/>
  <c r="I20" i="93"/>
  <c r="I14" i="93"/>
  <c r="AI33" i="90" l="1"/>
  <c r="AH33" i="90"/>
  <c r="Q10" i="50" l="1"/>
  <c r="Q11" i="50"/>
  <c r="Q12" i="50"/>
  <c r="Q13" i="50"/>
  <c r="Q14" i="50"/>
  <c r="Q15" i="50"/>
  <c r="Q16" i="50"/>
  <c r="Q17" i="50"/>
  <c r="Q18" i="50"/>
  <c r="Q19" i="50"/>
  <c r="Q20" i="50"/>
  <c r="Q21" i="50"/>
  <c r="Q22" i="50"/>
  <c r="Q9" i="50"/>
  <c r="V13" i="50" l="1"/>
  <c r="V21" i="50"/>
  <c r="V22" i="50"/>
  <c r="AB8" i="51" l="1"/>
  <c r="V9" i="51"/>
  <c r="V10" i="51"/>
  <c r="V11" i="51"/>
  <c r="V12" i="51"/>
  <c r="V13" i="51"/>
  <c r="V14" i="51"/>
  <c r="V15" i="51"/>
  <c r="V16" i="51"/>
  <c r="V17" i="51"/>
  <c r="V18" i="51"/>
  <c r="V19" i="51"/>
  <c r="V20" i="51"/>
  <c r="V21" i="51"/>
  <c r="W21" i="51" s="1"/>
  <c r="V22" i="51"/>
  <c r="W22" i="51" s="1"/>
  <c r="V23" i="51"/>
  <c r="W23" i="51" s="1"/>
  <c r="V24" i="51"/>
  <c r="W24" i="51" s="1"/>
  <c r="V25" i="51"/>
  <c r="W25" i="51" s="1"/>
  <c r="V26" i="51"/>
  <c r="W26" i="51" s="1"/>
  <c r="V27" i="51"/>
  <c r="W27" i="51" s="1"/>
  <c r="V28" i="51"/>
  <c r="W28" i="51" s="1"/>
  <c r="V29" i="51"/>
  <c r="W29" i="51" s="1"/>
  <c r="V30" i="51"/>
  <c r="W30" i="51" s="1"/>
  <c r="V31" i="51"/>
  <c r="W31" i="51" s="1"/>
  <c r="V32" i="51"/>
  <c r="V33" i="51"/>
  <c r="V34" i="51"/>
  <c r="V35" i="51"/>
  <c r="V36" i="51"/>
  <c r="V37" i="51"/>
  <c r="V38" i="51"/>
  <c r="V39" i="51"/>
  <c r="V40" i="51"/>
  <c r="V41" i="51"/>
  <c r="V42" i="51"/>
  <c r="V43" i="51"/>
  <c r="V44" i="51"/>
  <c r="V45" i="51"/>
  <c r="V46" i="51"/>
  <c r="V47" i="51"/>
  <c r="V48" i="51"/>
  <c r="V49" i="51"/>
  <c r="V50" i="51"/>
  <c r="V51" i="51"/>
  <c r="V52" i="51"/>
  <c r="V53" i="51"/>
  <c r="V54" i="51"/>
  <c r="V55" i="51"/>
  <c r="V56" i="51"/>
  <c r="V57" i="51"/>
  <c r="V58" i="51"/>
  <c r="V59" i="51"/>
  <c r="V60" i="51"/>
  <c r="V61" i="51"/>
  <c r="V62" i="51"/>
  <c r="V63" i="51"/>
  <c r="V64" i="51"/>
  <c r="V65" i="51"/>
  <c r="V66" i="51"/>
  <c r="V67" i="51"/>
  <c r="V68" i="51"/>
  <c r="V69" i="51"/>
  <c r="V70" i="51"/>
  <c r="V71" i="51"/>
  <c r="V72" i="51"/>
  <c r="V73" i="51"/>
  <c r="V74" i="51"/>
  <c r="V75" i="51"/>
  <c r="V76" i="51"/>
  <c r="V77" i="51"/>
  <c r="V78" i="51"/>
  <c r="V79" i="51"/>
  <c r="V80" i="51"/>
  <c r="V81" i="51"/>
  <c r="W81" i="51" s="1"/>
  <c r="V82" i="51"/>
  <c r="W82" i="51" s="1"/>
  <c r="V83" i="51"/>
  <c r="W83" i="51" s="1"/>
  <c r="V84" i="51"/>
  <c r="W84" i="51" s="1"/>
  <c r="V85" i="51"/>
  <c r="W85" i="51" s="1"/>
  <c r="V86" i="51"/>
  <c r="W86" i="51" s="1"/>
  <c r="V87" i="51"/>
  <c r="W87" i="51" s="1"/>
  <c r="V88" i="51"/>
  <c r="W88" i="51" s="1"/>
  <c r="V89" i="51"/>
  <c r="W89" i="51" s="1"/>
  <c r="V90" i="51"/>
  <c r="V91" i="51"/>
  <c r="W91" i="51" s="1"/>
  <c r="V92" i="51"/>
  <c r="V93" i="51"/>
  <c r="V94" i="51"/>
  <c r="V95" i="51"/>
  <c r="V96" i="51"/>
  <c r="V97" i="51"/>
  <c r="V98" i="51"/>
  <c r="V99" i="51"/>
  <c r="V100" i="51"/>
  <c r="V101" i="51"/>
  <c r="V102" i="51"/>
  <c r="V103" i="51"/>
  <c r="V104" i="51"/>
  <c r="V105" i="51"/>
  <c r="W105" i="51" s="1"/>
  <c r="V106" i="51"/>
  <c r="W106" i="51" s="1"/>
  <c r="V107" i="51"/>
  <c r="W107" i="51" s="1"/>
  <c r="V108" i="51"/>
  <c r="W108" i="51" s="1"/>
  <c r="V109" i="51"/>
  <c r="W109" i="51" s="1"/>
  <c r="V110" i="51"/>
  <c r="W110" i="51" s="1"/>
  <c r="V111" i="51"/>
  <c r="W111" i="51" s="1"/>
  <c r="V112" i="51"/>
  <c r="W112" i="51" s="1"/>
  <c r="V113" i="51"/>
  <c r="W113" i="51" s="1"/>
  <c r="V114" i="51"/>
  <c r="W114" i="51" s="1"/>
  <c r="V115" i="51"/>
  <c r="W115" i="51" s="1"/>
  <c r="V116" i="51"/>
  <c r="V117" i="51"/>
  <c r="V118" i="51"/>
  <c r="V119" i="51"/>
  <c r="V120" i="51"/>
  <c r="V121" i="51"/>
  <c r="V122" i="51"/>
  <c r="V123" i="51"/>
  <c r="V124" i="51"/>
  <c r="V125" i="51"/>
  <c r="V126" i="51"/>
  <c r="V127" i="51"/>
  <c r="V128" i="51"/>
  <c r="V129" i="51"/>
  <c r="V130" i="51"/>
  <c r="V131" i="51"/>
  <c r="V132" i="51"/>
  <c r="V133" i="51"/>
  <c r="V134" i="51"/>
  <c r="V135" i="51"/>
  <c r="V136" i="51"/>
  <c r="V137" i="51"/>
  <c r="V138" i="51"/>
  <c r="V139" i="51"/>
  <c r="V140" i="51"/>
  <c r="V141" i="51"/>
  <c r="W141" i="51" s="1"/>
  <c r="V142" i="51"/>
  <c r="W142" i="51" s="1"/>
  <c r="V143" i="51"/>
  <c r="W143" i="51" s="1"/>
  <c r="V144" i="51"/>
  <c r="W144" i="51" s="1"/>
  <c r="V145" i="51"/>
  <c r="W145" i="51" s="1"/>
  <c r="V146" i="51"/>
  <c r="W146" i="51" s="1"/>
  <c r="V147" i="51"/>
  <c r="W147" i="51" s="1"/>
  <c r="V148" i="51"/>
  <c r="W148" i="51" s="1"/>
  <c r="V149" i="51"/>
  <c r="W149" i="51" s="1"/>
  <c r="V150" i="51"/>
  <c r="W150" i="51" s="1"/>
  <c r="V151" i="51"/>
  <c r="W151" i="51" s="1"/>
  <c r="V152" i="51"/>
  <c r="V153" i="51"/>
  <c r="W153" i="51" s="1"/>
  <c r="V154" i="51"/>
  <c r="W154" i="51" s="1"/>
  <c r="V155" i="51"/>
  <c r="W155" i="51" s="1"/>
  <c r="V156" i="51"/>
  <c r="W156" i="51" s="1"/>
  <c r="V157" i="51"/>
  <c r="W157" i="51" s="1"/>
  <c r="V158" i="51"/>
  <c r="W158" i="51" s="1"/>
  <c r="V159" i="51"/>
  <c r="W159" i="51" s="1"/>
  <c r="V160" i="51"/>
  <c r="W160" i="51" s="1"/>
  <c r="V161" i="51"/>
  <c r="W161" i="51" s="1"/>
  <c r="V162" i="51"/>
  <c r="W162" i="51" s="1"/>
  <c r="V163" i="51"/>
  <c r="W163" i="51" s="1"/>
  <c r="V164" i="51"/>
  <c r="V165" i="51"/>
  <c r="V166" i="51"/>
  <c r="V167" i="51"/>
  <c r="V168" i="51"/>
  <c r="V169" i="51"/>
  <c r="V170" i="51"/>
  <c r="V171" i="51"/>
  <c r="V172" i="51"/>
  <c r="V173" i="51"/>
  <c r="V174" i="51"/>
  <c r="V175" i="51"/>
  <c r="V8" i="51"/>
  <c r="AC190" i="51"/>
  <c r="AC189" i="51"/>
  <c r="AC188" i="51"/>
  <c r="AC187" i="51"/>
  <c r="AC186" i="51"/>
  <c r="AC185" i="51"/>
  <c r="AC184" i="51"/>
  <c r="AC183" i="51"/>
  <c r="AC182" i="51"/>
  <c r="AC181" i="51"/>
  <c r="AC180" i="51"/>
  <c r="AC179" i="51"/>
  <c r="AC178" i="51"/>
  <c r="AC177" i="51"/>
  <c r="AC9" i="51"/>
  <c r="AC10" i="51"/>
  <c r="AC11" i="51"/>
  <c r="AC12" i="51"/>
  <c r="AC13" i="51"/>
  <c r="AC14" i="51"/>
  <c r="AC15" i="51"/>
  <c r="AC16" i="51"/>
  <c r="AC17" i="51"/>
  <c r="AC18" i="51"/>
  <c r="AC19" i="51"/>
  <c r="AC20" i="51"/>
  <c r="AC21" i="51"/>
  <c r="AC22" i="51"/>
  <c r="AC23" i="51"/>
  <c r="AC24" i="51"/>
  <c r="AC25" i="51"/>
  <c r="AC26" i="51"/>
  <c r="AC27" i="51"/>
  <c r="AC28" i="51"/>
  <c r="AC29" i="51"/>
  <c r="AC30" i="51"/>
  <c r="AC31" i="51"/>
  <c r="AC32" i="51"/>
  <c r="AC33" i="51"/>
  <c r="AC34" i="51"/>
  <c r="AC35" i="51"/>
  <c r="AC36" i="51"/>
  <c r="AC37" i="51"/>
  <c r="AC38" i="51"/>
  <c r="AC39" i="51"/>
  <c r="AC40" i="51"/>
  <c r="AC41" i="51"/>
  <c r="AC42" i="51"/>
  <c r="AC43" i="51"/>
  <c r="AC44" i="51"/>
  <c r="AC45" i="51"/>
  <c r="AC46" i="51"/>
  <c r="AC47" i="51"/>
  <c r="AC48" i="51"/>
  <c r="AC49" i="51"/>
  <c r="AC50" i="51"/>
  <c r="AC51" i="51"/>
  <c r="AC52" i="51"/>
  <c r="AC53" i="51"/>
  <c r="AC54" i="51"/>
  <c r="AC55" i="51"/>
  <c r="AC56" i="51"/>
  <c r="AC57" i="51"/>
  <c r="AC58" i="51"/>
  <c r="AC59" i="51"/>
  <c r="AC60" i="51"/>
  <c r="AC61" i="51"/>
  <c r="AC62" i="51"/>
  <c r="AC63" i="51"/>
  <c r="AC64" i="51"/>
  <c r="AC65" i="51"/>
  <c r="AC66" i="51"/>
  <c r="AC67" i="51"/>
  <c r="AC80" i="51"/>
  <c r="AC85" i="51"/>
  <c r="AC90" i="51"/>
  <c r="AC91" i="51"/>
  <c r="AC104" i="51"/>
  <c r="AC108" i="51"/>
  <c r="AC109" i="51"/>
  <c r="AC114" i="51"/>
  <c r="AC115" i="51"/>
  <c r="AC140" i="51"/>
  <c r="AC142" i="51"/>
  <c r="AC145" i="51"/>
  <c r="AC149" i="51"/>
  <c r="AC150" i="51"/>
  <c r="AC152" i="51"/>
  <c r="AC156" i="51"/>
  <c r="AC160" i="51"/>
  <c r="AC162" i="51"/>
  <c r="AC163" i="51"/>
  <c r="AC8" i="51"/>
  <c r="T163" i="51"/>
  <c r="N163" i="51"/>
  <c r="O163" i="51" s="1"/>
  <c r="T162" i="51"/>
  <c r="T161" i="51"/>
  <c r="N161" i="51"/>
  <c r="O161" i="51" s="1"/>
  <c r="T160" i="51"/>
  <c r="N160" i="51"/>
  <c r="O160" i="51" s="1"/>
  <c r="T159" i="51"/>
  <c r="N159" i="51"/>
  <c r="O159" i="51" s="1"/>
  <c r="T158" i="51"/>
  <c r="N158" i="51"/>
  <c r="O158" i="51" s="1"/>
  <c r="T157" i="51"/>
  <c r="AC157" i="51"/>
  <c r="T156" i="51"/>
  <c r="N156" i="51"/>
  <c r="O156" i="51" s="1"/>
  <c r="T155" i="51"/>
  <c r="AC155" i="51"/>
  <c r="T154" i="51"/>
  <c r="T153" i="51"/>
  <c r="N153" i="51"/>
  <c r="O153" i="51" s="1"/>
  <c r="AC153" i="51"/>
  <c r="T152" i="51"/>
  <c r="T151" i="51"/>
  <c r="AC151" i="51"/>
  <c r="T150" i="51"/>
  <c r="T149" i="51"/>
  <c r="T148" i="51"/>
  <c r="N148" i="51"/>
  <c r="O148" i="51" s="1"/>
  <c r="T147" i="51"/>
  <c r="N147" i="51"/>
  <c r="O147" i="51" s="1"/>
  <c r="T146" i="51"/>
  <c r="N146" i="51"/>
  <c r="O146" i="51" s="1"/>
  <c r="AC146" i="51"/>
  <c r="T145" i="51"/>
  <c r="T144" i="51"/>
  <c r="AC144" i="51"/>
  <c r="T143" i="51"/>
  <c r="AC143" i="51"/>
  <c r="T142" i="51"/>
  <c r="T141" i="51"/>
  <c r="AC141" i="51"/>
  <c r="T140" i="51"/>
  <c r="T115" i="51"/>
  <c r="T114" i="51"/>
  <c r="T113" i="51"/>
  <c r="AC113" i="51"/>
  <c r="T112" i="51"/>
  <c r="N112" i="51"/>
  <c r="O112" i="51" s="1"/>
  <c r="T111" i="51"/>
  <c r="T110" i="51"/>
  <c r="N110" i="51"/>
  <c r="O110" i="51" s="1"/>
  <c r="T109" i="51"/>
  <c r="T108" i="51"/>
  <c r="N108" i="51"/>
  <c r="O108" i="51" s="1"/>
  <c r="T107" i="51"/>
  <c r="AC107" i="51"/>
  <c r="T106" i="51"/>
  <c r="T105" i="51"/>
  <c r="AC105" i="51"/>
  <c r="T104" i="51"/>
  <c r="T91" i="51"/>
  <c r="W90" i="51"/>
  <c r="T90" i="51"/>
  <c r="T89" i="51"/>
  <c r="T88" i="51"/>
  <c r="AC88" i="51"/>
  <c r="T87" i="51"/>
  <c r="T86" i="51"/>
  <c r="AC86" i="51"/>
  <c r="T85" i="51"/>
  <c r="T84" i="51"/>
  <c r="N84" i="51"/>
  <c r="O84" i="51" s="1"/>
  <c r="T83" i="51"/>
  <c r="T82" i="51"/>
  <c r="AC82" i="51"/>
  <c r="T81" i="51"/>
  <c r="AC81" i="51"/>
  <c r="T80" i="51"/>
  <c r="AB31" i="51"/>
  <c r="T31" i="51"/>
  <c r="N31" i="51"/>
  <c r="O31" i="51" s="1"/>
  <c r="G31" i="51"/>
  <c r="AB30" i="51"/>
  <c r="T30" i="51"/>
  <c r="N30" i="51"/>
  <c r="O30" i="51" s="1"/>
  <c r="G30" i="51"/>
  <c r="AB29" i="51"/>
  <c r="T29" i="51"/>
  <c r="N29" i="51"/>
  <c r="O29" i="51" s="1"/>
  <c r="G29" i="51"/>
  <c r="AB28" i="51"/>
  <c r="T28" i="51"/>
  <c r="N28" i="51"/>
  <c r="O28" i="51" s="1"/>
  <c r="G28" i="51"/>
  <c r="AB27" i="51"/>
  <c r="T27" i="51"/>
  <c r="N27" i="51"/>
  <c r="O27" i="51" s="1"/>
  <c r="G27" i="51"/>
  <c r="AB26" i="51"/>
  <c r="T26" i="51"/>
  <c r="N26" i="51"/>
  <c r="O26" i="51" s="1"/>
  <c r="G26" i="51"/>
  <c r="AB25" i="51"/>
  <c r="T25" i="51"/>
  <c r="N25" i="51"/>
  <c r="O25" i="51" s="1"/>
  <c r="G25" i="51"/>
  <c r="AB24" i="51"/>
  <c r="T24" i="51"/>
  <c r="N24" i="51"/>
  <c r="O24" i="51" s="1"/>
  <c r="G24" i="51"/>
  <c r="AB23" i="51"/>
  <c r="T23" i="51"/>
  <c r="N23" i="51"/>
  <c r="O23" i="51" s="1"/>
  <c r="G23" i="51"/>
  <c r="AB22" i="51"/>
  <c r="T22" i="51"/>
  <c r="N22" i="51"/>
  <c r="O22" i="51" s="1"/>
  <c r="G22" i="51"/>
  <c r="AB21" i="51"/>
  <c r="T21" i="51"/>
  <c r="N21" i="51"/>
  <c r="O21" i="51" s="1"/>
  <c r="G21" i="51"/>
  <c r="AB20" i="51"/>
  <c r="T20" i="51"/>
  <c r="N20" i="51"/>
  <c r="O20" i="51" s="1"/>
  <c r="G20" i="51"/>
  <c r="AD22" i="50"/>
  <c r="AD21" i="50"/>
  <c r="AD20" i="50"/>
  <c r="AD19" i="50"/>
  <c r="AD18" i="50"/>
  <c r="AD17" i="50"/>
  <c r="AD16" i="50"/>
  <c r="AD15" i="50"/>
  <c r="AD14" i="50"/>
  <c r="AD13" i="50"/>
  <c r="AD12" i="50"/>
  <c r="AD11" i="50"/>
  <c r="AD10" i="50"/>
  <c r="AD9" i="50"/>
  <c r="AC161" i="51" l="1"/>
  <c r="AC148" i="51"/>
  <c r="AC112" i="51"/>
  <c r="AC89" i="51"/>
  <c r="AC159" i="51"/>
  <c r="AC147" i="51"/>
  <c r="AC111" i="51"/>
  <c r="AC87" i="51"/>
  <c r="AC158" i="51"/>
  <c r="AC110" i="51"/>
  <c r="AC84" i="51"/>
  <c r="AC83" i="51"/>
  <c r="AC154" i="51"/>
  <c r="AC106" i="51"/>
  <c r="W8" i="51"/>
  <c r="W104" i="51"/>
  <c r="W80" i="51"/>
  <c r="W20" i="51"/>
  <c r="W152" i="51"/>
  <c r="W140" i="51"/>
  <c r="N144" i="51"/>
  <c r="O144" i="51" s="1"/>
  <c r="N154" i="51"/>
  <c r="O154" i="51" s="1"/>
  <c r="N151" i="51"/>
  <c r="O151" i="51" s="1"/>
  <c r="N152" i="51"/>
  <c r="O152" i="51" s="1"/>
  <c r="N149" i="51"/>
  <c r="O149" i="51" s="1"/>
  <c r="N157" i="51"/>
  <c r="O157" i="51" s="1"/>
  <c r="N162" i="51"/>
  <c r="O162" i="51" s="1"/>
  <c r="N141" i="51"/>
  <c r="O141" i="51" s="1"/>
  <c r="N155" i="51"/>
  <c r="O155" i="51" s="1"/>
  <c r="N142" i="51"/>
  <c r="O142" i="51" s="1"/>
  <c r="N115" i="51"/>
  <c r="O115" i="51" s="1"/>
  <c r="N105" i="51"/>
  <c r="O105" i="51" s="1"/>
  <c r="N113" i="51"/>
  <c r="O113" i="51" s="1"/>
  <c r="N140" i="51"/>
  <c r="O140" i="51" s="1"/>
  <c r="N145" i="51"/>
  <c r="O145" i="51" s="1"/>
  <c r="N111" i="51"/>
  <c r="O111" i="51" s="1"/>
  <c r="N150" i="51"/>
  <c r="O150" i="51" s="1"/>
  <c r="N143" i="51"/>
  <c r="O143" i="51" s="1"/>
  <c r="N87" i="51"/>
  <c r="O87" i="51" s="1"/>
  <c r="N106" i="51"/>
  <c r="O106" i="51" s="1"/>
  <c r="N86" i="51"/>
  <c r="O86" i="51" s="1"/>
  <c r="N104" i="51"/>
  <c r="O104" i="51" s="1"/>
  <c r="N109" i="51"/>
  <c r="O109" i="51" s="1"/>
  <c r="N114" i="51"/>
  <c r="O114" i="51" s="1"/>
  <c r="N107" i="51"/>
  <c r="O107" i="51" s="1"/>
  <c r="N91" i="51"/>
  <c r="O91" i="51" s="1"/>
  <c r="N82" i="51"/>
  <c r="O82" i="51" s="1"/>
  <c r="N81" i="51"/>
  <c r="O81" i="51" s="1"/>
  <c r="N89" i="51"/>
  <c r="O89" i="51" s="1"/>
  <c r="N85" i="51"/>
  <c r="O85" i="51" s="1"/>
  <c r="N80" i="51"/>
  <c r="O80" i="51" s="1"/>
  <c r="N90" i="51"/>
  <c r="O90" i="51" s="1"/>
  <c r="N83" i="51"/>
  <c r="O83" i="51" s="1"/>
  <c r="N88" i="51"/>
  <c r="O88" i="51" s="1"/>
  <c r="J9" i="90" l="1"/>
  <c r="K19" i="90" l="1"/>
  <c r="E9" i="90"/>
  <c r="E9" i="24" l="1"/>
  <c r="E99" i="1"/>
  <c r="T9" i="51"/>
  <c r="J24" i="24" l="1"/>
  <c r="J12" i="24"/>
  <c r="E103" i="1" l="1"/>
  <c r="E107" i="1"/>
  <c r="E106" i="1"/>
  <c r="E105" i="1"/>
  <c r="E104" i="1"/>
  <c r="E98" i="1"/>
  <c r="E100" i="1"/>
  <c r="J88" i="51" l="1"/>
  <c r="J86" i="51"/>
  <c r="J90" i="51"/>
  <c r="J158" i="51"/>
  <c r="J112" i="51"/>
  <c r="J110" i="51"/>
  <c r="J106" i="51"/>
  <c r="J104" i="51"/>
  <c r="J30" i="51"/>
  <c r="J21" i="51"/>
  <c r="J155" i="51"/>
  <c r="J153" i="51"/>
  <c r="J24" i="51"/>
  <c r="J109" i="51"/>
  <c r="J149" i="51"/>
  <c r="J162" i="51"/>
  <c r="J108" i="51"/>
  <c r="J27" i="51"/>
  <c r="J113" i="51"/>
  <c r="J160" i="51"/>
  <c r="J156" i="51"/>
  <c r="J154" i="51"/>
  <c r="J114" i="51"/>
  <c r="J22" i="51"/>
  <c r="J159" i="51"/>
  <c r="J105" i="51"/>
  <c r="J151" i="51"/>
  <c r="J29" i="51"/>
  <c r="J152" i="51"/>
  <c r="J150" i="51"/>
  <c r="J148" i="51"/>
  <c r="J144" i="51"/>
  <c r="J142" i="51"/>
  <c r="J140" i="51"/>
  <c r="J157" i="51"/>
  <c r="J107" i="51"/>
  <c r="J82" i="51"/>
  <c r="J146" i="51"/>
  <c r="J83" i="51"/>
  <c r="J81" i="51"/>
  <c r="J87" i="51"/>
  <c r="J85" i="51"/>
  <c r="J31" i="51"/>
  <c r="J28" i="51"/>
  <c r="J25" i="51"/>
  <c r="J147" i="51"/>
  <c r="J143" i="51"/>
  <c r="J141" i="51"/>
  <c r="J26" i="51"/>
  <c r="J23" i="51"/>
  <c r="J84" i="51"/>
  <c r="J80" i="51"/>
  <c r="J89" i="51"/>
  <c r="J163" i="51"/>
  <c r="J91" i="51"/>
  <c r="J161" i="51"/>
  <c r="J111" i="51"/>
  <c r="J20" i="51"/>
  <c r="J145" i="51"/>
  <c r="J115" i="51"/>
  <c r="L12" i="50"/>
  <c r="H153" i="51"/>
  <c r="H151" i="51"/>
  <c r="H149" i="51"/>
  <c r="H147" i="51"/>
  <c r="H143" i="51"/>
  <c r="H141" i="51"/>
  <c r="H29" i="51"/>
  <c r="H26" i="51"/>
  <c r="H23" i="51"/>
  <c r="H20" i="51"/>
  <c r="H145" i="51"/>
  <c r="H84" i="51"/>
  <c r="H82" i="51"/>
  <c r="H80" i="51"/>
  <c r="H86" i="51"/>
  <c r="H28" i="51"/>
  <c r="H22" i="51"/>
  <c r="H159" i="51"/>
  <c r="H155" i="51"/>
  <c r="H115" i="51"/>
  <c r="H88" i="51"/>
  <c r="H105" i="51"/>
  <c r="H90" i="51"/>
  <c r="H25" i="51"/>
  <c r="H163" i="51"/>
  <c r="H91" i="51"/>
  <c r="H107" i="51"/>
  <c r="H162" i="51"/>
  <c r="H158" i="51"/>
  <c r="H112" i="51"/>
  <c r="H110" i="51"/>
  <c r="H108" i="51"/>
  <c r="H106" i="51"/>
  <c r="H104" i="51"/>
  <c r="H30" i="51"/>
  <c r="H27" i="51"/>
  <c r="H24" i="51"/>
  <c r="H21" i="51"/>
  <c r="H140" i="51"/>
  <c r="H160" i="51"/>
  <c r="H156" i="51"/>
  <c r="H154" i="51"/>
  <c r="H114" i="51"/>
  <c r="H152" i="51"/>
  <c r="H150" i="51"/>
  <c r="H148" i="51"/>
  <c r="H144" i="51"/>
  <c r="H89" i="51"/>
  <c r="H31" i="51"/>
  <c r="H161" i="51"/>
  <c r="H157" i="51"/>
  <c r="H109" i="51"/>
  <c r="H142" i="51"/>
  <c r="H85" i="51"/>
  <c r="H146" i="51"/>
  <c r="H83" i="51"/>
  <c r="H81" i="51"/>
  <c r="H111" i="51"/>
  <c r="H87" i="51"/>
  <c r="H113" i="51"/>
  <c r="G149" i="51"/>
  <c r="G87" i="51"/>
  <c r="G161" i="51"/>
  <c r="G111" i="51"/>
  <c r="G83" i="51"/>
  <c r="G156" i="51"/>
  <c r="G106" i="51"/>
  <c r="G154" i="51"/>
  <c r="G89" i="51"/>
  <c r="G150" i="51"/>
  <c r="G142" i="51"/>
  <c r="G160" i="51"/>
  <c r="G85" i="51"/>
  <c r="G157" i="51"/>
  <c r="G105" i="51"/>
  <c r="G82" i="51"/>
  <c r="G162" i="51"/>
  <c r="G151" i="51"/>
  <c r="G90" i="51"/>
  <c r="G147" i="51"/>
  <c r="G144" i="51"/>
  <c r="G104" i="51"/>
  <c r="G81" i="51"/>
  <c r="G153" i="51"/>
  <c r="G110" i="51"/>
  <c r="G86" i="51"/>
  <c r="G148" i="51"/>
  <c r="G91" i="51"/>
  <c r="G146" i="51"/>
  <c r="G141" i="51"/>
  <c r="G115" i="51"/>
  <c r="G88" i="51"/>
  <c r="G84" i="51"/>
  <c r="G158" i="51"/>
  <c r="G145" i="51"/>
  <c r="G108" i="51"/>
  <c r="G140" i="51"/>
  <c r="G152" i="51"/>
  <c r="G113" i="51"/>
  <c r="G109" i="51"/>
  <c r="G159" i="51"/>
  <c r="G163" i="51"/>
  <c r="G114" i="51"/>
  <c r="G107" i="51"/>
  <c r="G80" i="51"/>
  <c r="G155" i="51"/>
  <c r="G112" i="51"/>
  <c r="G143" i="51"/>
  <c r="H6" i="94"/>
  <c r="B588" i="95"/>
  <c r="B587" i="95"/>
  <c r="B586" i="95"/>
  <c r="B585" i="95"/>
  <c r="K584" i="95"/>
  <c r="B584" i="95"/>
  <c r="K583" i="95"/>
  <c r="B583" i="95"/>
  <c r="B582" i="95"/>
  <c r="K581" i="95"/>
  <c r="B581" i="95"/>
  <c r="K580" i="95"/>
  <c r="B580" i="95"/>
  <c r="K579" i="95"/>
  <c r="B579" i="95"/>
  <c r="K578" i="95"/>
  <c r="B578" i="95"/>
  <c r="K577" i="95"/>
  <c r="B577" i="95"/>
  <c r="K576" i="95"/>
  <c r="B576" i="95"/>
  <c r="K575" i="95"/>
  <c r="B575" i="95"/>
  <c r="K574" i="95"/>
  <c r="B574" i="95"/>
  <c r="K573" i="95"/>
  <c r="B573" i="95"/>
  <c r="K572" i="95"/>
  <c r="B572" i="95"/>
  <c r="K571" i="95"/>
  <c r="B571" i="95"/>
  <c r="K570" i="95"/>
  <c r="B570" i="95"/>
  <c r="K569" i="95"/>
  <c r="B569" i="95"/>
  <c r="K568" i="95"/>
  <c r="B568" i="95"/>
  <c r="K567" i="95"/>
  <c r="B567" i="95"/>
  <c r="K566" i="95"/>
  <c r="B566" i="95"/>
  <c r="K565" i="95"/>
  <c r="B565" i="95"/>
  <c r="B564" i="95"/>
  <c r="K563" i="95"/>
  <c r="B563" i="95"/>
  <c r="K562" i="95"/>
  <c r="B562" i="95"/>
  <c r="B561" i="95"/>
  <c r="K560" i="95"/>
  <c r="B560" i="95"/>
  <c r="K559" i="95"/>
  <c r="B559" i="95"/>
  <c r="K558" i="95"/>
  <c r="B558" i="95"/>
  <c r="B557" i="95"/>
  <c r="B556" i="95"/>
  <c r="B555" i="95"/>
  <c r="B554" i="95"/>
  <c r="K553" i="95"/>
  <c r="B553" i="95"/>
  <c r="B552" i="95"/>
  <c r="B551" i="95"/>
  <c r="B550" i="95"/>
  <c r="B549" i="95"/>
  <c r="B548" i="95"/>
  <c r="B547" i="95"/>
  <c r="B546" i="95"/>
  <c r="B545" i="95"/>
  <c r="K544" i="95"/>
  <c r="B544" i="95"/>
  <c r="B543" i="95"/>
  <c r="B542" i="95"/>
  <c r="B541" i="95"/>
  <c r="B540" i="95"/>
  <c r="B539" i="95"/>
  <c r="B538" i="95"/>
  <c r="B537" i="95"/>
  <c r="B536" i="95"/>
  <c r="B535" i="95"/>
  <c r="B534" i="95"/>
  <c r="B533" i="95"/>
  <c r="K532" i="95"/>
  <c r="B532" i="95"/>
  <c r="B531" i="95"/>
  <c r="B530" i="95"/>
  <c r="B529" i="95"/>
  <c r="N528" i="95"/>
  <c r="B528" i="95"/>
  <c r="B522" i="95"/>
  <c r="B521" i="95"/>
  <c r="B518" i="95"/>
  <c r="B517" i="95"/>
  <c r="K516" i="95"/>
  <c r="B516" i="95"/>
  <c r="B515" i="95"/>
  <c r="K514" i="95"/>
  <c r="B514" i="95"/>
  <c r="K513" i="95"/>
  <c r="B513" i="95"/>
  <c r="B512" i="95"/>
  <c r="B511" i="95"/>
  <c r="K510" i="95"/>
  <c r="B510" i="95"/>
  <c r="K509" i="95"/>
  <c r="B509" i="95"/>
  <c r="K508" i="95"/>
  <c r="B508" i="95"/>
  <c r="K507" i="95"/>
  <c r="B507" i="95"/>
  <c r="K506" i="95"/>
  <c r="B506" i="95"/>
  <c r="B505" i="95"/>
  <c r="K504" i="95"/>
  <c r="B504" i="95"/>
  <c r="K503" i="95"/>
  <c r="B503" i="95"/>
  <c r="B502" i="95"/>
  <c r="K501" i="95"/>
  <c r="B501" i="95"/>
  <c r="K500" i="95"/>
  <c r="B500" i="95"/>
  <c r="B499" i="95"/>
  <c r="K498" i="95"/>
  <c r="B498" i="95"/>
  <c r="B497" i="95"/>
  <c r="K496" i="95"/>
  <c r="B496" i="95"/>
  <c r="K495" i="95"/>
  <c r="B495" i="95"/>
  <c r="B494" i="95"/>
  <c r="B493" i="95"/>
  <c r="B492" i="95"/>
  <c r="B491" i="95"/>
  <c r="B490" i="95"/>
  <c r="B489" i="95"/>
  <c r="B488" i="95"/>
  <c r="G487" i="95"/>
  <c r="B487" i="95"/>
  <c r="B486" i="95"/>
  <c r="G485" i="95"/>
  <c r="B485" i="95"/>
  <c r="B484" i="95"/>
  <c r="G483" i="95"/>
  <c r="B483" i="95"/>
  <c r="B482" i="95"/>
  <c r="N481" i="95"/>
  <c r="B481" i="95"/>
  <c r="B475" i="95"/>
  <c r="B474" i="95"/>
  <c r="K471" i="95"/>
  <c r="K424" i="95"/>
  <c r="G437" i="95"/>
  <c r="B471" i="95"/>
  <c r="B470" i="95"/>
  <c r="K469" i="95"/>
  <c r="B469" i="95"/>
  <c r="B468" i="95"/>
  <c r="K467" i="95"/>
  <c r="B467" i="95"/>
  <c r="K466" i="95"/>
  <c r="B466" i="95"/>
  <c r="K465" i="95"/>
  <c r="B465" i="95"/>
  <c r="K464" i="95"/>
  <c r="B464" i="95"/>
  <c r="K463" i="95"/>
  <c r="B463" i="95"/>
  <c r="K462" i="95"/>
  <c r="B462" i="95"/>
  <c r="B461" i="95"/>
  <c r="K460" i="95"/>
  <c r="B460" i="95"/>
  <c r="K459" i="95"/>
  <c r="B459" i="95"/>
  <c r="K458" i="95"/>
  <c r="B458" i="95"/>
  <c r="K457" i="95"/>
  <c r="B457" i="95"/>
  <c r="K456" i="95"/>
  <c r="B456" i="95"/>
  <c r="K455" i="95"/>
  <c r="B455" i="95"/>
  <c r="K454" i="95"/>
  <c r="B454" i="95"/>
  <c r="K453" i="95"/>
  <c r="B453" i="95"/>
  <c r="K452" i="95"/>
  <c r="B452" i="95"/>
  <c r="K451" i="95"/>
  <c r="B451" i="95"/>
  <c r="K450" i="95"/>
  <c r="B450" i="95"/>
  <c r="K449" i="95"/>
  <c r="B449" i="95"/>
  <c r="K448" i="95"/>
  <c r="B448" i="95"/>
  <c r="K447" i="95"/>
  <c r="B447" i="95"/>
  <c r="B446" i="95"/>
  <c r="B445" i="95"/>
  <c r="B444" i="95"/>
  <c r="B443" i="95"/>
  <c r="B442" i="95"/>
  <c r="B441" i="95"/>
  <c r="K440" i="95"/>
  <c r="G440" i="95"/>
  <c r="B440" i="95"/>
  <c r="G439" i="95"/>
  <c r="B439" i="95"/>
  <c r="G438" i="95"/>
  <c r="B438" i="95"/>
  <c r="B437" i="95"/>
  <c r="K436" i="95"/>
  <c r="G436" i="95"/>
  <c r="B436" i="95"/>
  <c r="K435" i="95"/>
  <c r="G435" i="95"/>
  <c r="B435" i="95"/>
  <c r="B434" i="95"/>
  <c r="B433" i="95"/>
  <c r="K432" i="95"/>
  <c r="B432" i="95"/>
  <c r="G431" i="95"/>
  <c r="B431" i="95"/>
  <c r="K430" i="95"/>
  <c r="G430" i="95"/>
  <c r="B430" i="95"/>
  <c r="G429" i="95"/>
  <c r="B429" i="95"/>
  <c r="K428" i="95"/>
  <c r="B428" i="95"/>
  <c r="G427" i="95"/>
  <c r="B427" i="95"/>
  <c r="B426" i="95"/>
  <c r="B425" i="95"/>
  <c r="G424" i="95"/>
  <c r="B424" i="95"/>
  <c r="G423" i="95"/>
  <c r="B423" i="95"/>
  <c r="G422" i="95"/>
  <c r="B422" i="95"/>
  <c r="G421" i="95"/>
  <c r="B421" i="95"/>
  <c r="G420" i="95"/>
  <c r="B420" i="95"/>
  <c r="G419" i="95"/>
  <c r="B419" i="95"/>
  <c r="B418" i="95"/>
  <c r="B417" i="95"/>
  <c r="B416" i="95"/>
  <c r="N415" i="95"/>
  <c r="F415" i="95"/>
  <c r="B415" i="95"/>
  <c r="B409" i="95"/>
  <c r="B408" i="95"/>
  <c r="B406" i="95"/>
  <c r="D405" i="95"/>
  <c r="K404" i="95"/>
  <c r="D404" i="95"/>
  <c r="K403" i="95"/>
  <c r="D403" i="95"/>
  <c r="D402" i="95"/>
  <c r="K401" i="95"/>
  <c r="D401" i="95"/>
  <c r="K400" i="95"/>
  <c r="D400" i="95"/>
  <c r="D399" i="95"/>
  <c r="K399" i="95" s="1"/>
  <c r="B399" i="95"/>
  <c r="D398" i="95"/>
  <c r="D397" i="95"/>
  <c r="K397" i="95" s="1"/>
  <c r="K396" i="95"/>
  <c r="D396" i="95"/>
  <c r="D395" i="95"/>
  <c r="D394" i="95"/>
  <c r="D393" i="95"/>
  <c r="K392" i="95"/>
  <c r="D392" i="95"/>
  <c r="K391" i="95"/>
  <c r="D391" i="95"/>
  <c r="D390" i="95"/>
  <c r="D389" i="95"/>
  <c r="K388" i="95"/>
  <c r="D388" i="95"/>
  <c r="D387" i="95"/>
  <c r="D386" i="95"/>
  <c r="K385" i="95"/>
  <c r="D385" i="95"/>
  <c r="K384" i="95"/>
  <c r="D384" i="95"/>
  <c r="K383" i="95"/>
  <c r="D383" i="95"/>
  <c r="D382" i="95"/>
  <c r="D381" i="95"/>
  <c r="B385" i="95" s="1"/>
  <c r="B381" i="95"/>
  <c r="D380" i="95"/>
  <c r="B380" i="95"/>
  <c r="B379" i="95"/>
  <c r="B378" i="95"/>
  <c r="B377" i="95"/>
  <c r="B376" i="95"/>
  <c r="B375" i="95"/>
  <c r="B374" i="95"/>
  <c r="B373" i="95"/>
  <c r="B372" i="95"/>
  <c r="B371" i="95"/>
  <c r="B370" i="95"/>
  <c r="B369" i="95"/>
  <c r="B368" i="95"/>
  <c r="B367" i="95"/>
  <c r="B366" i="95"/>
  <c r="B365" i="95"/>
  <c r="G364" i="95"/>
  <c r="B364" i="95"/>
  <c r="B363" i="95"/>
  <c r="B362" i="95"/>
  <c r="B361" i="95"/>
  <c r="B360" i="95"/>
  <c r="B359" i="95"/>
  <c r="B358" i="95"/>
  <c r="B357" i="95"/>
  <c r="B356" i="95"/>
  <c r="B355" i="95"/>
  <c r="B354" i="95"/>
  <c r="B353" i="95"/>
  <c r="B352" i="95"/>
  <c r="B351" i="95"/>
  <c r="N350" i="95"/>
  <c r="B350" i="95"/>
  <c r="B344" i="95"/>
  <c r="B343" i="95"/>
  <c r="D340" i="95"/>
  <c r="B340" i="95"/>
  <c r="B339" i="95"/>
  <c r="B338" i="95"/>
  <c r="B337" i="95"/>
  <c r="B336" i="95"/>
  <c r="K335" i="95"/>
  <c r="B335" i="95"/>
  <c r="K334" i="95"/>
  <c r="B334" i="95"/>
  <c r="K333" i="95"/>
  <c r="B333" i="95"/>
  <c r="K332" i="95"/>
  <c r="B332" i="95"/>
  <c r="B331" i="95"/>
  <c r="K330" i="95"/>
  <c r="B330" i="95"/>
  <c r="B329" i="95"/>
  <c r="B328" i="95"/>
  <c r="K327" i="95"/>
  <c r="B327" i="95"/>
  <c r="K326" i="95"/>
  <c r="B326" i="95"/>
  <c r="K325" i="95"/>
  <c r="B325" i="95"/>
  <c r="B324" i="95"/>
  <c r="K323" i="95"/>
  <c r="B323" i="95"/>
  <c r="K322" i="95"/>
  <c r="B322" i="95"/>
  <c r="K321" i="95"/>
  <c r="B321" i="95"/>
  <c r="K320" i="95"/>
  <c r="B320" i="95"/>
  <c r="B319" i="95"/>
  <c r="K318" i="95"/>
  <c r="B318" i="95"/>
  <c r="K317" i="95"/>
  <c r="B317" i="95"/>
  <c r="K316" i="95"/>
  <c r="B316" i="95"/>
  <c r="B315" i="95"/>
  <c r="B314" i="95"/>
  <c r="B313" i="95"/>
  <c r="B312" i="95"/>
  <c r="B311" i="95"/>
  <c r="E310" i="95"/>
  <c r="B310" i="95"/>
  <c r="E309" i="95"/>
  <c r="B309" i="95"/>
  <c r="E308" i="95"/>
  <c r="B308" i="95"/>
  <c r="E307" i="95"/>
  <c r="B307" i="95"/>
  <c r="E306" i="95"/>
  <c r="B306" i="95"/>
  <c r="E305" i="95"/>
  <c r="B305" i="95"/>
  <c r="E304" i="95"/>
  <c r="B304" i="95"/>
  <c r="E303" i="95"/>
  <c r="B303" i="95"/>
  <c r="B302" i="95"/>
  <c r="B301" i="95"/>
  <c r="E300" i="95"/>
  <c r="B300" i="95"/>
  <c r="E299" i="95"/>
  <c r="B299" i="95"/>
  <c r="E298" i="95"/>
  <c r="B298" i="95"/>
  <c r="E297" i="95"/>
  <c r="B297" i="95"/>
  <c r="E296" i="95"/>
  <c r="B296" i="95"/>
  <c r="E295" i="95"/>
  <c r="B295" i="95"/>
  <c r="E294" i="95"/>
  <c r="B294" i="95"/>
  <c r="E293" i="95"/>
  <c r="B293" i="95"/>
  <c r="B292" i="95"/>
  <c r="B291" i="95"/>
  <c r="E290" i="95"/>
  <c r="B290" i="95"/>
  <c r="E289" i="95"/>
  <c r="B289" i="95"/>
  <c r="E288" i="95"/>
  <c r="B288" i="95"/>
  <c r="E287" i="95"/>
  <c r="B287" i="95"/>
  <c r="E286" i="95"/>
  <c r="B286" i="95"/>
  <c r="E285" i="95"/>
  <c r="B285" i="95"/>
  <c r="E284" i="95"/>
  <c r="B284" i="95"/>
  <c r="E283" i="95"/>
  <c r="B283" i="95"/>
  <c r="B282" i="95"/>
  <c r="B281" i="95"/>
  <c r="B280" i="95"/>
  <c r="N279" i="95"/>
  <c r="F279" i="95"/>
  <c r="B279" i="95"/>
  <c r="B273" i="95"/>
  <c r="B272" i="95"/>
  <c r="J269" i="95"/>
  <c r="B269" i="95"/>
  <c r="J268" i="95"/>
  <c r="B268" i="95"/>
  <c r="J267" i="95"/>
  <c r="B267" i="95"/>
  <c r="B266" i="95"/>
  <c r="B265" i="95"/>
  <c r="B264" i="95"/>
  <c r="J263" i="95"/>
  <c r="B263" i="95"/>
  <c r="J262" i="95"/>
  <c r="B262" i="95"/>
  <c r="J261" i="95"/>
  <c r="B261" i="95"/>
  <c r="J260" i="95"/>
  <c r="B260" i="95"/>
  <c r="J259" i="95"/>
  <c r="B259" i="95"/>
  <c r="B258" i="95"/>
  <c r="J257" i="95"/>
  <c r="B257" i="95"/>
  <c r="J256" i="95"/>
  <c r="B256" i="95"/>
  <c r="J255" i="95"/>
  <c r="B255" i="95"/>
  <c r="J254" i="95"/>
  <c r="B254" i="95"/>
  <c r="J253" i="95"/>
  <c r="B253" i="95"/>
  <c r="J252" i="95"/>
  <c r="B252" i="95"/>
  <c r="J251" i="95"/>
  <c r="B251" i="95"/>
  <c r="J250" i="95"/>
  <c r="B250" i="95"/>
  <c r="J249" i="95"/>
  <c r="B249" i="95"/>
  <c r="J248" i="95"/>
  <c r="B248" i="95"/>
  <c r="B247" i="95"/>
  <c r="B246" i="95"/>
  <c r="B245" i="95"/>
  <c r="B244" i="95"/>
  <c r="B243" i="95"/>
  <c r="B242" i="95"/>
  <c r="B241" i="95"/>
  <c r="K240" i="95"/>
  <c r="G240" i="95"/>
  <c r="B240" i="95"/>
  <c r="K239" i="95"/>
  <c r="G239" i="95"/>
  <c r="B239" i="95"/>
  <c r="K238" i="95"/>
  <c r="G238" i="95"/>
  <c r="B238" i="95"/>
  <c r="K237" i="95"/>
  <c r="G237" i="95"/>
  <c r="B237" i="95"/>
  <c r="K236" i="95"/>
  <c r="G236" i="95"/>
  <c r="B236" i="95"/>
  <c r="K235" i="95"/>
  <c r="G235" i="95"/>
  <c r="B235" i="95"/>
  <c r="K234" i="95"/>
  <c r="G234" i="95"/>
  <c r="B234" i="95"/>
  <c r="K233" i="95"/>
  <c r="G233" i="95"/>
  <c r="B233" i="95"/>
  <c r="K232" i="95"/>
  <c r="G232" i="95"/>
  <c r="B232" i="95"/>
  <c r="K231" i="95"/>
  <c r="G231" i="95"/>
  <c r="B231" i="95"/>
  <c r="K230" i="95"/>
  <c r="G230" i="95"/>
  <c r="B230" i="95"/>
  <c r="O229" i="95"/>
  <c r="N229" i="95"/>
  <c r="L229" i="95"/>
  <c r="K229" i="95"/>
  <c r="J229" i="95"/>
  <c r="H229" i="95"/>
  <c r="G229" i="95"/>
  <c r="F229" i="95"/>
  <c r="B229" i="95"/>
  <c r="N228" i="95"/>
  <c r="B228" i="95"/>
  <c r="B222" i="95"/>
  <c r="B221" i="95"/>
  <c r="J218" i="95"/>
  <c r="D218" i="95"/>
  <c r="B218" i="95"/>
  <c r="J217" i="95"/>
  <c r="K187" i="95"/>
  <c r="B217" i="95"/>
  <c r="J216" i="95"/>
  <c r="B216" i="95"/>
  <c r="J215" i="95"/>
  <c r="B215" i="95"/>
  <c r="B214" i="95"/>
  <c r="J213" i="95"/>
  <c r="B213" i="95"/>
  <c r="J212" i="95"/>
  <c r="B212" i="95"/>
  <c r="J211" i="95"/>
  <c r="B211" i="95"/>
  <c r="J210" i="95"/>
  <c r="B210" i="95"/>
  <c r="J209" i="95"/>
  <c r="B209" i="95"/>
  <c r="J208" i="95"/>
  <c r="B208" i="95"/>
  <c r="J207" i="95"/>
  <c r="B207" i="95"/>
  <c r="J206" i="95"/>
  <c r="B206" i="95"/>
  <c r="J205" i="95"/>
  <c r="B205" i="95"/>
  <c r="J204" i="95"/>
  <c r="B204" i="95"/>
  <c r="J203" i="95"/>
  <c r="B203" i="95"/>
  <c r="J202" i="95"/>
  <c r="B202" i="95"/>
  <c r="J201" i="95"/>
  <c r="B201" i="95"/>
  <c r="J200" i="95"/>
  <c r="B200" i="95"/>
  <c r="J199" i="95"/>
  <c r="B199" i="95"/>
  <c r="B198" i="95"/>
  <c r="J197" i="95"/>
  <c r="B197" i="95"/>
  <c r="J196" i="95"/>
  <c r="B196" i="95"/>
  <c r="B195" i="95"/>
  <c r="J194" i="95"/>
  <c r="B194" i="95"/>
  <c r="B193" i="95"/>
  <c r="B192" i="95"/>
  <c r="B191" i="95"/>
  <c r="B190" i="95"/>
  <c r="B189" i="95"/>
  <c r="K188" i="95"/>
  <c r="G188" i="95"/>
  <c r="B188" i="95"/>
  <c r="G187" i="95"/>
  <c r="B187" i="95"/>
  <c r="K186" i="95"/>
  <c r="G186" i="95"/>
  <c r="B186" i="95"/>
  <c r="K185" i="95"/>
  <c r="G185" i="95"/>
  <c r="B185" i="95"/>
  <c r="G184" i="95"/>
  <c r="B184" i="95"/>
  <c r="K183" i="95"/>
  <c r="G183" i="95"/>
  <c r="B183" i="95"/>
  <c r="K182" i="95"/>
  <c r="G182" i="95"/>
  <c r="B182" i="95"/>
  <c r="G181" i="95"/>
  <c r="B181" i="95"/>
  <c r="K180" i="95"/>
  <c r="G180" i="95"/>
  <c r="B180" i="95"/>
  <c r="K179" i="95"/>
  <c r="G179" i="95"/>
  <c r="B179" i="95"/>
  <c r="K178" i="95"/>
  <c r="G178" i="95"/>
  <c r="B178" i="95"/>
  <c r="K177" i="95"/>
  <c r="G177" i="95"/>
  <c r="B177" i="95"/>
  <c r="K176" i="95"/>
  <c r="G176" i="95"/>
  <c r="B176" i="95"/>
  <c r="K175" i="95"/>
  <c r="G175" i="95"/>
  <c r="B175" i="95"/>
  <c r="O174" i="95"/>
  <c r="N174" i="95"/>
  <c r="L174" i="95"/>
  <c r="K174" i="95"/>
  <c r="J174" i="95"/>
  <c r="H174" i="95"/>
  <c r="G174" i="95"/>
  <c r="F174" i="95"/>
  <c r="B174" i="95"/>
  <c r="N173" i="95"/>
  <c r="F173" i="95"/>
  <c r="B173" i="95"/>
  <c r="B168" i="95"/>
  <c r="B167" i="95"/>
  <c r="B166" i="95"/>
  <c r="J163" i="95"/>
  <c r="B163" i="95"/>
  <c r="J162" i="95"/>
  <c r="B162" i="95"/>
  <c r="J161" i="95"/>
  <c r="B161" i="95"/>
  <c r="B160" i="95"/>
  <c r="J159" i="95"/>
  <c r="B159" i="95"/>
  <c r="J158" i="95"/>
  <c r="B158" i="95"/>
  <c r="J157" i="95"/>
  <c r="B157" i="95"/>
  <c r="J156" i="95"/>
  <c r="B156" i="95"/>
  <c r="J155" i="95"/>
  <c r="B155" i="95"/>
  <c r="J154" i="95"/>
  <c r="B154" i="95"/>
  <c r="J153" i="95"/>
  <c r="B153" i="95"/>
  <c r="J152" i="95"/>
  <c r="B152" i="95"/>
  <c r="J151" i="95"/>
  <c r="B151" i="95"/>
  <c r="J150" i="95"/>
  <c r="B150" i="95"/>
  <c r="B149" i="95"/>
  <c r="J148" i="95"/>
  <c r="B148" i="95"/>
  <c r="J147" i="95"/>
  <c r="B147" i="95"/>
  <c r="J146" i="95"/>
  <c r="B146" i="95"/>
  <c r="J145" i="95"/>
  <c r="B145" i="95"/>
  <c r="J144" i="95"/>
  <c r="B144" i="95"/>
  <c r="J143" i="95"/>
  <c r="B143" i="95"/>
  <c r="J142" i="95"/>
  <c r="B142" i="95"/>
  <c r="B141" i="95"/>
  <c r="J140" i="95"/>
  <c r="B140" i="95"/>
  <c r="B139" i="95"/>
  <c r="B138" i="95"/>
  <c r="B137" i="95"/>
  <c r="B136" i="95"/>
  <c r="B135" i="95"/>
  <c r="K134" i="95"/>
  <c r="G134" i="95"/>
  <c r="B134" i="95"/>
  <c r="K133" i="95"/>
  <c r="B133" i="95"/>
  <c r="K132" i="95"/>
  <c r="G132" i="95"/>
  <c r="B132" i="95"/>
  <c r="K131" i="95"/>
  <c r="G131" i="95"/>
  <c r="B131" i="95"/>
  <c r="K130" i="95"/>
  <c r="B130" i="95"/>
  <c r="K129" i="95"/>
  <c r="G129" i="95"/>
  <c r="B129" i="95"/>
  <c r="K128" i="95"/>
  <c r="G128" i="95"/>
  <c r="B128" i="95"/>
  <c r="K127" i="95"/>
  <c r="G127" i="95"/>
  <c r="B127" i="95"/>
  <c r="K126" i="95"/>
  <c r="B126" i="95"/>
  <c r="K125" i="95"/>
  <c r="G125" i="95"/>
  <c r="B125" i="95"/>
  <c r="K124" i="95"/>
  <c r="G124" i="95"/>
  <c r="B124" i="95"/>
  <c r="K123" i="95"/>
  <c r="G123" i="95"/>
  <c r="B123" i="95"/>
  <c r="K122" i="95"/>
  <c r="B122" i="95"/>
  <c r="K121" i="95"/>
  <c r="G121" i="95"/>
  <c r="B121" i="95"/>
  <c r="O120" i="95"/>
  <c r="N120" i="95"/>
  <c r="L120" i="95"/>
  <c r="K120" i="95"/>
  <c r="J120" i="95"/>
  <c r="H120" i="95"/>
  <c r="G120" i="95"/>
  <c r="F120" i="95"/>
  <c r="B120" i="95"/>
  <c r="N119" i="95"/>
  <c r="B119" i="95"/>
  <c r="B113" i="95"/>
  <c r="B112" i="95"/>
  <c r="B109" i="95"/>
  <c r="K77" i="95"/>
  <c r="B108" i="95"/>
  <c r="J107" i="95"/>
  <c r="B107" i="95"/>
  <c r="J106" i="95"/>
  <c r="B106" i="95"/>
  <c r="B105" i="95"/>
  <c r="J104" i="95"/>
  <c r="B104" i="95"/>
  <c r="J103" i="95"/>
  <c r="B103" i="95"/>
  <c r="J102" i="95"/>
  <c r="B102" i="95"/>
  <c r="J101" i="95"/>
  <c r="B101" i="95"/>
  <c r="J100" i="95"/>
  <c r="B100" i="95"/>
  <c r="J99" i="95"/>
  <c r="B99" i="95"/>
  <c r="J98" i="95"/>
  <c r="B98" i="95"/>
  <c r="J97" i="95"/>
  <c r="B97" i="95"/>
  <c r="J96" i="95"/>
  <c r="B96" i="95"/>
  <c r="J95" i="95"/>
  <c r="B95" i="95"/>
  <c r="J94" i="95"/>
  <c r="B94" i="95"/>
  <c r="J93" i="95"/>
  <c r="B93" i="95"/>
  <c r="J92" i="95"/>
  <c r="B92" i="95"/>
  <c r="J91" i="95"/>
  <c r="B91" i="95"/>
  <c r="J90" i="95"/>
  <c r="B90" i="95"/>
  <c r="J89" i="95"/>
  <c r="B89" i="95"/>
  <c r="J88" i="95"/>
  <c r="B88" i="95"/>
  <c r="J87" i="95"/>
  <c r="B87" i="95"/>
  <c r="J86" i="95"/>
  <c r="B86" i="95"/>
  <c r="B85" i="95"/>
  <c r="B84" i="95"/>
  <c r="B83" i="95"/>
  <c r="B82" i="95"/>
  <c r="B81" i="95"/>
  <c r="B80" i="95"/>
  <c r="B79" i="95"/>
  <c r="B78" i="95"/>
  <c r="B77" i="95"/>
  <c r="B76" i="95"/>
  <c r="B75" i="95"/>
  <c r="B74" i="95"/>
  <c r="K73" i="95"/>
  <c r="B73" i="95"/>
  <c r="B72" i="95"/>
  <c r="B71" i="95"/>
  <c r="K70" i="95"/>
  <c r="B70" i="95"/>
  <c r="B69" i="95"/>
  <c r="B68" i="95"/>
  <c r="K67" i="95"/>
  <c r="B67" i="95"/>
  <c r="B66" i="95"/>
  <c r="O65" i="95"/>
  <c r="N65" i="95"/>
  <c r="L65" i="95"/>
  <c r="K65" i="95"/>
  <c r="J65" i="95"/>
  <c r="H65" i="95"/>
  <c r="G65" i="95"/>
  <c r="F65" i="95"/>
  <c r="B65" i="95"/>
  <c r="N64" i="95"/>
  <c r="F64" i="95"/>
  <c r="B64" i="95"/>
  <c r="B58" i="95"/>
  <c r="B57" i="95"/>
  <c r="G24" i="95"/>
  <c r="B54" i="95"/>
  <c r="J53" i="95"/>
  <c r="B53" i="95"/>
  <c r="J52" i="95"/>
  <c r="B52" i="95"/>
  <c r="B51" i="95"/>
  <c r="J50" i="95"/>
  <c r="B50" i="95"/>
  <c r="J49" i="95"/>
  <c r="B49" i="95"/>
  <c r="J48" i="95"/>
  <c r="B48" i="95"/>
  <c r="J47" i="95"/>
  <c r="B47" i="95"/>
  <c r="J46" i="95"/>
  <c r="B46" i="95"/>
  <c r="J45" i="95"/>
  <c r="B45" i="95"/>
  <c r="J44" i="95"/>
  <c r="B44" i="95"/>
  <c r="J43" i="95"/>
  <c r="B43" i="95"/>
  <c r="J42" i="95"/>
  <c r="B42" i="95"/>
  <c r="J41" i="95"/>
  <c r="B41" i="95"/>
  <c r="J40" i="95"/>
  <c r="B40" i="95"/>
  <c r="J39" i="95"/>
  <c r="B39" i="95"/>
  <c r="J38" i="95"/>
  <c r="B38" i="95"/>
  <c r="J37" i="95"/>
  <c r="B37" i="95"/>
  <c r="J36" i="95"/>
  <c r="B36" i="95"/>
  <c r="J35" i="95"/>
  <c r="B35" i="95"/>
  <c r="J34" i="95"/>
  <c r="B34" i="95"/>
  <c r="J33" i="95"/>
  <c r="B33" i="95"/>
  <c r="B32" i="95"/>
  <c r="J31" i="95"/>
  <c r="B31" i="95"/>
  <c r="J30" i="95"/>
  <c r="B30" i="95"/>
  <c r="B29" i="95"/>
  <c r="G28" i="95"/>
  <c r="G191" i="95" s="1"/>
  <c r="B28" i="95"/>
  <c r="B27" i="95"/>
  <c r="B26" i="95"/>
  <c r="G25" i="95"/>
  <c r="B25" i="95"/>
  <c r="B24" i="95"/>
  <c r="G23" i="95"/>
  <c r="B23" i="95"/>
  <c r="G22" i="95"/>
  <c r="B22" i="95"/>
  <c r="B21" i="95"/>
  <c r="G20" i="95"/>
  <c r="B20" i="95"/>
  <c r="G19" i="95"/>
  <c r="B19" i="95"/>
  <c r="G18" i="95"/>
  <c r="B18" i="95"/>
  <c r="B17" i="95"/>
  <c r="G16" i="95"/>
  <c r="B16" i="95"/>
  <c r="G15" i="95"/>
  <c r="B15" i="95"/>
  <c r="K14" i="95"/>
  <c r="G14" i="95"/>
  <c r="B14" i="95"/>
  <c r="G13" i="95"/>
  <c r="B13" i="95"/>
  <c r="G12" i="95"/>
  <c r="B12" i="95"/>
  <c r="B11" i="95"/>
  <c r="H28" i="95"/>
  <c r="B10" i="95"/>
  <c r="E36" i="94"/>
  <c r="D36" i="94"/>
  <c r="E35" i="94"/>
  <c r="D35" i="94"/>
  <c r="E34" i="94"/>
  <c r="D34" i="94"/>
  <c r="E32" i="94"/>
  <c r="D30" i="94"/>
  <c r="D29" i="94"/>
  <c r="D28" i="94"/>
  <c r="E16" i="94"/>
  <c r="E14" i="94"/>
  <c r="E12" i="94"/>
  <c r="E10" i="94"/>
  <c r="G17" i="93"/>
  <c r="E17" i="93"/>
  <c r="F15" i="93"/>
  <c r="G15" i="93"/>
  <c r="G20" i="93" s="1"/>
  <c r="E15" i="93"/>
  <c r="G9" i="93"/>
  <c r="G13" i="93"/>
  <c r="F13" i="93"/>
  <c r="E13" i="93"/>
  <c r="G12" i="93"/>
  <c r="F12" i="93"/>
  <c r="E12" i="93"/>
  <c r="G11" i="93"/>
  <c r="F11" i="93"/>
  <c r="E11" i="93"/>
  <c r="G10" i="93"/>
  <c r="F10" i="93"/>
  <c r="E10" i="93"/>
  <c r="E20" i="93" l="1"/>
  <c r="J492" i="95"/>
  <c r="J556" i="95"/>
  <c r="J443" i="95"/>
  <c r="J378" i="95"/>
  <c r="I243" i="95"/>
  <c r="H82" i="95"/>
  <c r="H137" i="95"/>
  <c r="H191" i="95"/>
  <c r="J313" i="95"/>
  <c r="J85" i="95"/>
  <c r="J119" i="95"/>
  <c r="J32" i="95"/>
  <c r="J54" i="95"/>
  <c r="K24" i="95"/>
  <c r="K17" i="95"/>
  <c r="K21" i="95"/>
  <c r="K25" i="95"/>
  <c r="K22" i="95"/>
  <c r="K15" i="95"/>
  <c r="K12" i="95"/>
  <c r="K19" i="95"/>
  <c r="J247" i="95"/>
  <c r="H313" i="95"/>
  <c r="K336" i="95"/>
  <c r="B403" i="95"/>
  <c r="B395" i="95"/>
  <c r="B404" i="95"/>
  <c r="B387" i="95"/>
  <c r="B397" i="95"/>
  <c r="B383" i="95"/>
  <c r="B391" i="95"/>
  <c r="G365" i="95"/>
  <c r="G372" i="95"/>
  <c r="G356" i="95"/>
  <c r="G373" i="95"/>
  <c r="G366" i="95"/>
  <c r="G359" i="95"/>
  <c r="G354" i="95"/>
  <c r="G374" i="95"/>
  <c r="G362" i="95"/>
  <c r="G358" i="95"/>
  <c r="G371" i="95"/>
  <c r="G367" i="95"/>
  <c r="G355" i="95"/>
  <c r="G370" i="95"/>
  <c r="G363" i="95"/>
  <c r="G357" i="95"/>
  <c r="G375" i="95"/>
  <c r="G78" i="95"/>
  <c r="G70" i="95"/>
  <c r="G76" i="95"/>
  <c r="G68" i="95"/>
  <c r="G74" i="95"/>
  <c r="G66" i="95"/>
  <c r="J109" i="95"/>
  <c r="G77" i="95"/>
  <c r="G69" i="95"/>
  <c r="G72" i="95"/>
  <c r="J84" i="95"/>
  <c r="J198" i="95"/>
  <c r="K76" i="95"/>
  <c r="K72" i="95"/>
  <c r="K68" i="95"/>
  <c r="K79" i="95"/>
  <c r="K71" i="95"/>
  <c r="K74" i="95"/>
  <c r="K66" i="95"/>
  <c r="J108" i="95"/>
  <c r="B523" i="95"/>
  <c r="B410" i="95"/>
  <c r="B476" i="95"/>
  <c r="B114" i="95"/>
  <c r="B59" i="95"/>
  <c r="B345" i="95"/>
  <c r="B223" i="95"/>
  <c r="B274" i="95"/>
  <c r="K20" i="95"/>
  <c r="K75" i="95"/>
  <c r="K78" i="95"/>
  <c r="J149" i="95"/>
  <c r="J195" i="95"/>
  <c r="K69" i="95"/>
  <c r="J141" i="95"/>
  <c r="J415" i="95"/>
  <c r="J173" i="95"/>
  <c r="J350" i="95"/>
  <c r="J481" i="95"/>
  <c r="J528" i="95"/>
  <c r="J279" i="95"/>
  <c r="J64" i="95"/>
  <c r="H443" i="95"/>
  <c r="H378" i="95"/>
  <c r="G137" i="95"/>
  <c r="H492" i="95"/>
  <c r="G243" i="95"/>
  <c r="H556" i="95"/>
  <c r="G82" i="95"/>
  <c r="K497" i="95"/>
  <c r="K13" i="95"/>
  <c r="K23" i="95"/>
  <c r="G73" i="95"/>
  <c r="J139" i="95"/>
  <c r="J228" i="95"/>
  <c r="J265" i="95"/>
  <c r="B394" i="95"/>
  <c r="K485" i="95"/>
  <c r="K487" i="95"/>
  <c r="K484" i="95"/>
  <c r="K486" i="95"/>
  <c r="K488" i="95"/>
  <c r="K446" i="95"/>
  <c r="K329" i="95"/>
  <c r="K395" i="95"/>
  <c r="K518" i="95"/>
  <c r="K315" i="95"/>
  <c r="B386" i="95"/>
  <c r="K494" i="95"/>
  <c r="G21" i="95"/>
  <c r="J193" i="95"/>
  <c r="G544" i="95"/>
  <c r="G540" i="95"/>
  <c r="G551" i="95"/>
  <c r="G534" i="95"/>
  <c r="G542" i="95"/>
  <c r="G553" i="95"/>
  <c r="G549" i="95"/>
  <c r="G536" i="95"/>
  <c r="G532" i="95"/>
  <c r="G543" i="95"/>
  <c r="G545" i="95"/>
  <c r="G548" i="95"/>
  <c r="G533" i="95"/>
  <c r="G550" i="95"/>
  <c r="G535" i="95"/>
  <c r="G552" i="95"/>
  <c r="G541" i="95"/>
  <c r="G17" i="95"/>
  <c r="K338" i="95"/>
  <c r="B392" i="95"/>
  <c r="K564" i="95"/>
  <c r="B405" i="95"/>
  <c r="F481" i="95"/>
  <c r="F228" i="95"/>
  <c r="F528" i="95"/>
  <c r="F350" i="95"/>
  <c r="F119" i="95"/>
  <c r="J245" i="95"/>
  <c r="K470" i="95"/>
  <c r="K502" i="95"/>
  <c r="G79" i="95"/>
  <c r="G75" i="95"/>
  <c r="G71" i="95"/>
  <c r="G67" i="95"/>
  <c r="K339" i="95"/>
  <c r="B389" i="95"/>
  <c r="K389" i="95"/>
  <c r="G537" i="95"/>
  <c r="J246" i="95"/>
  <c r="J264" i="95"/>
  <c r="K328" i="95"/>
  <c r="B382" i="95"/>
  <c r="K394" i="95"/>
  <c r="K512" i="95"/>
  <c r="K382" i="95"/>
  <c r="K398" i="95"/>
  <c r="B398" i="95"/>
  <c r="B402" i="95"/>
  <c r="K505" i="95"/>
  <c r="K181" i="95"/>
  <c r="K184" i="95"/>
  <c r="J258" i="95"/>
  <c r="K461" i="95"/>
  <c r="K561" i="95"/>
  <c r="K545" i="95"/>
  <c r="K541" i="95"/>
  <c r="K552" i="95"/>
  <c r="K548" i="95"/>
  <c r="K535" i="95"/>
  <c r="K543" i="95"/>
  <c r="K550" i="95"/>
  <c r="K537" i="95"/>
  <c r="K533" i="95"/>
  <c r="K549" i="95"/>
  <c r="K540" i="95"/>
  <c r="K551" i="95"/>
  <c r="K536" i="95"/>
  <c r="K585" i="95"/>
  <c r="K542" i="95"/>
  <c r="G130" i="95"/>
  <c r="K319" i="95"/>
  <c r="K387" i="95"/>
  <c r="G122" i="95"/>
  <c r="G126" i="95"/>
  <c r="G133" i="95"/>
  <c r="B400" i="95"/>
  <c r="K324" i="95"/>
  <c r="K331" i="95"/>
  <c r="B401" i="95"/>
  <c r="K420" i="95"/>
  <c r="K422" i="95"/>
  <c r="K445" i="95"/>
  <c r="K499" i="95"/>
  <c r="B388" i="95"/>
  <c r="K431" i="95"/>
  <c r="K427" i="95"/>
  <c r="K438" i="95"/>
  <c r="K421" i="95"/>
  <c r="K429" i="95"/>
  <c r="K423" i="95"/>
  <c r="K419" i="95"/>
  <c r="B393" i="95"/>
  <c r="K517" i="95"/>
  <c r="K386" i="95"/>
  <c r="K393" i="95"/>
  <c r="B396" i="95"/>
  <c r="B384" i="95"/>
  <c r="K390" i="95"/>
  <c r="B390" i="95"/>
  <c r="K437" i="95"/>
  <c r="K439" i="95"/>
  <c r="K511" i="95"/>
  <c r="G488" i="95"/>
  <c r="G484" i="95"/>
  <c r="G486" i="95"/>
  <c r="K483" i="95"/>
  <c r="G428" i="95"/>
  <c r="G432" i="95"/>
  <c r="G14" i="93"/>
  <c r="G16" i="93" s="1"/>
  <c r="K14" i="93"/>
  <c r="K16" i="93" s="1"/>
  <c r="I16" i="93"/>
  <c r="J14" i="93"/>
  <c r="I18" i="93" s="1"/>
  <c r="I19" i="93" s="1"/>
  <c r="I22" i="93" l="1"/>
  <c r="K18" i="93"/>
  <c r="K19" i="93" s="1"/>
  <c r="K22" i="93" s="1"/>
  <c r="K340" i="95"/>
  <c r="K304" i="95"/>
  <c r="K285" i="95"/>
  <c r="K309" i="95"/>
  <c r="K293" i="95"/>
  <c r="K286" i="95"/>
  <c r="K307" i="95"/>
  <c r="K288" i="95"/>
  <c r="K294" i="95"/>
  <c r="K284" i="95"/>
  <c r="K310" i="95"/>
  <c r="K305" i="95"/>
  <c r="K297" i="95"/>
  <c r="K287" i="95"/>
  <c r="K298" i="95"/>
  <c r="K303" i="95"/>
  <c r="K306" i="95"/>
  <c r="K295" i="95"/>
  <c r="K308" i="95"/>
  <c r="K299" i="95"/>
  <c r="K290" i="95"/>
  <c r="K283" i="95"/>
  <c r="K300" i="95"/>
  <c r="K296" i="95"/>
  <c r="K289" i="95"/>
  <c r="K381" i="95"/>
  <c r="K405" i="95"/>
  <c r="K366" i="95"/>
  <c r="K362" i="95"/>
  <c r="K373" i="95"/>
  <c r="K357" i="95"/>
  <c r="K375" i="95"/>
  <c r="K371" i="95"/>
  <c r="K364" i="95"/>
  <c r="K359" i="95"/>
  <c r="K365" i="95"/>
  <c r="K358" i="95"/>
  <c r="K370" i="95"/>
  <c r="K363" i="95"/>
  <c r="K367" i="95"/>
  <c r="K355" i="95"/>
  <c r="K354" i="95"/>
  <c r="K372" i="95"/>
  <c r="K356" i="95"/>
  <c r="K374" i="95"/>
  <c r="G308" i="95"/>
  <c r="G299" i="95"/>
  <c r="G293" i="95"/>
  <c r="G290" i="95"/>
  <c r="G303" i="95"/>
  <c r="G284" i="95"/>
  <c r="G285" i="95"/>
  <c r="G287" i="95"/>
  <c r="G304" i="95"/>
  <c r="G307" i="95"/>
  <c r="G289" i="95"/>
  <c r="G294" i="95"/>
  <c r="G305" i="95"/>
  <c r="G300" i="95"/>
  <c r="G295" i="95"/>
  <c r="G310" i="95"/>
  <c r="G297" i="95"/>
  <c r="G306" i="95"/>
  <c r="G286" i="95"/>
  <c r="G288" i="95"/>
  <c r="G283" i="95"/>
  <c r="G309" i="95"/>
  <c r="G296" i="95"/>
  <c r="G298" i="95"/>
  <c r="K380" i="95"/>
  <c r="J22" i="93" l="1"/>
  <c r="E102" i="1"/>
  <c r="H51" i="95"/>
  <c r="H105" i="95"/>
  <c r="J70" i="95" s="1"/>
  <c r="L70" i="95" s="1"/>
  <c r="H160" i="95"/>
  <c r="J121" i="95" s="1"/>
  <c r="L121" i="95" s="1"/>
  <c r="H214" i="95"/>
  <c r="J177" i="95" s="1"/>
  <c r="L177" i="95" s="1"/>
  <c r="J582" i="95"/>
  <c r="J534" i="95" s="1"/>
  <c r="J515" i="95"/>
  <c r="J468" i="95"/>
  <c r="J402" i="95"/>
  <c r="J337" i="95"/>
  <c r="H266" i="95"/>
  <c r="J21" i="95" l="1"/>
  <c r="L21" i="95" s="1"/>
  <c r="J16" i="95"/>
  <c r="J179" i="95"/>
  <c r="L179" i="95" s="1"/>
  <c r="J14" i="95"/>
  <c r="L14" i="95" s="1"/>
  <c r="J24" i="95"/>
  <c r="L24" i="95" s="1"/>
  <c r="J126" i="95"/>
  <c r="L126" i="95" s="1"/>
  <c r="J134" i="95"/>
  <c r="L134" i="95" s="1"/>
  <c r="J123" i="95"/>
  <c r="L123" i="95" s="1"/>
  <c r="J183" i="95"/>
  <c r="L183" i="95" s="1"/>
  <c r="J178" i="95"/>
  <c r="L178" i="95" s="1"/>
  <c r="J77" i="95"/>
  <c r="L77" i="95" s="1"/>
  <c r="J79" i="95"/>
  <c r="L79" i="95" s="1"/>
  <c r="J176" i="95"/>
  <c r="L176" i="95" s="1"/>
  <c r="J175" i="95"/>
  <c r="L175" i="95" s="1"/>
  <c r="J124" i="95"/>
  <c r="L124" i="95" s="1"/>
  <c r="J132" i="95"/>
  <c r="L132" i="95" s="1"/>
  <c r="J130" i="95"/>
  <c r="L130" i="95" s="1"/>
  <c r="J133" i="95"/>
  <c r="L133" i="95" s="1"/>
  <c r="J185" i="95"/>
  <c r="L185" i="95" s="1"/>
  <c r="J180" i="95"/>
  <c r="L180" i="95" s="1"/>
  <c r="J66" i="95"/>
  <c r="L66" i="95" s="1"/>
  <c r="J127" i="95"/>
  <c r="L127" i="95" s="1"/>
  <c r="J184" i="95"/>
  <c r="L184" i="95" s="1"/>
  <c r="J131" i="95"/>
  <c r="L131" i="95" s="1"/>
  <c r="J122" i="95"/>
  <c r="L122" i="95" s="1"/>
  <c r="J125" i="95"/>
  <c r="L125" i="95" s="1"/>
  <c r="J129" i="95"/>
  <c r="L129" i="95" s="1"/>
  <c r="J128" i="95"/>
  <c r="L128" i="95" s="1"/>
  <c r="J181" i="95"/>
  <c r="L181" i="95" s="1"/>
  <c r="J76" i="95"/>
  <c r="L76" i="95" s="1"/>
  <c r="J78" i="95"/>
  <c r="L78" i="95" s="1"/>
  <c r="J74" i="95"/>
  <c r="L74" i="95" s="1"/>
  <c r="J71" i="95"/>
  <c r="L71" i="95" s="1"/>
  <c r="J75" i="95"/>
  <c r="L75" i="95" s="1"/>
  <c r="J67" i="95"/>
  <c r="L67" i="95" s="1"/>
  <c r="J72" i="95"/>
  <c r="L72" i="95" s="1"/>
  <c r="J188" i="95"/>
  <c r="L188" i="95" s="1"/>
  <c r="J186" i="95"/>
  <c r="L186" i="95" s="1"/>
  <c r="J187" i="95"/>
  <c r="L187" i="95" s="1"/>
  <c r="J182" i="95"/>
  <c r="L182" i="95" s="1"/>
  <c r="J13" i="95"/>
  <c r="L13" i="95" s="1"/>
  <c r="J12" i="95"/>
  <c r="L12" i="95" s="1"/>
  <c r="J15" i="95"/>
  <c r="L15" i="95" s="1"/>
  <c r="J19" i="95"/>
  <c r="L19" i="95" s="1"/>
  <c r="J68" i="95"/>
  <c r="L68" i="95" s="1"/>
  <c r="J73" i="95"/>
  <c r="L73" i="95" s="1"/>
  <c r="J25" i="95"/>
  <c r="L25" i="95" s="1"/>
  <c r="J69" i="95"/>
  <c r="L69" i="95" s="1"/>
  <c r="J18" i="95"/>
  <c r="L18" i="95" s="1"/>
  <c r="J20" i="95"/>
  <c r="L20" i="95" s="1"/>
  <c r="J17" i="95"/>
  <c r="L17" i="95" s="1"/>
  <c r="J22" i="95"/>
  <c r="L22" i="95" s="1"/>
  <c r="L16" i="95"/>
  <c r="J23" i="95"/>
  <c r="L23" i="95" s="1"/>
  <c r="J484" i="95"/>
  <c r="L484" i="95" s="1"/>
  <c r="J486" i="95"/>
  <c r="L486" i="95" s="1"/>
  <c r="J485" i="95"/>
  <c r="L485" i="95" s="1"/>
  <c r="J487" i="95"/>
  <c r="L487" i="95" s="1"/>
  <c r="J483" i="95"/>
  <c r="L483" i="95" s="1"/>
  <c r="J488" i="95"/>
  <c r="L488" i="95" s="1"/>
  <c r="J366" i="95"/>
  <c r="L366" i="95" s="1"/>
  <c r="J357" i="95"/>
  <c r="L357" i="95" s="1"/>
  <c r="J373" i="95"/>
  <c r="L373" i="95" s="1"/>
  <c r="J358" i="95"/>
  <c r="L358" i="95" s="1"/>
  <c r="J374" i="95"/>
  <c r="L374" i="95" s="1"/>
  <c r="J359" i="95"/>
  <c r="L359" i="95" s="1"/>
  <c r="J363" i="95"/>
  <c r="L363" i="95" s="1"/>
  <c r="J367" i="95"/>
  <c r="L367" i="95" s="1"/>
  <c r="J372" i="95"/>
  <c r="L372" i="95" s="1"/>
  <c r="J370" i="95"/>
  <c r="L370" i="95" s="1"/>
  <c r="J354" i="95"/>
  <c r="L354" i="95" s="1"/>
  <c r="J356" i="95"/>
  <c r="L356" i="95" s="1"/>
  <c r="J365" i="95"/>
  <c r="L365" i="95" s="1"/>
  <c r="J364" i="95"/>
  <c r="L364" i="95" s="1"/>
  <c r="J375" i="95"/>
  <c r="L375" i="95" s="1"/>
  <c r="J355" i="95"/>
  <c r="L355" i="95" s="1"/>
  <c r="J362" i="95"/>
  <c r="L362" i="95" s="1"/>
  <c r="J371" i="95"/>
  <c r="L371" i="95" s="1"/>
  <c r="J542" i="95"/>
  <c r="L542" i="95" s="1"/>
  <c r="J553" i="95"/>
  <c r="L553" i="95" s="1"/>
  <c r="J550" i="95"/>
  <c r="L550" i="95" s="1"/>
  <c r="J540" i="95"/>
  <c r="L540" i="95" s="1"/>
  <c r="J551" i="95"/>
  <c r="L551" i="95" s="1"/>
  <c r="J544" i="95"/>
  <c r="L544" i="95" s="1"/>
  <c r="L534" i="95"/>
  <c r="J549" i="95"/>
  <c r="L549" i="95" s="1"/>
  <c r="J545" i="95"/>
  <c r="L545" i="95" s="1"/>
  <c r="J541" i="95"/>
  <c r="L541" i="95" s="1"/>
  <c r="J533" i="95"/>
  <c r="L533" i="95" s="1"/>
  <c r="J552" i="95"/>
  <c r="L552" i="95" s="1"/>
  <c r="J535" i="95"/>
  <c r="L535" i="95" s="1"/>
  <c r="J532" i="95"/>
  <c r="L532" i="95" s="1"/>
  <c r="J543" i="95"/>
  <c r="L543" i="95" s="1"/>
  <c r="J548" i="95"/>
  <c r="L548" i="95" s="1"/>
  <c r="J536" i="95"/>
  <c r="L536" i="95" s="1"/>
  <c r="J537" i="95"/>
  <c r="L537" i="95" s="1"/>
  <c r="J440" i="95"/>
  <c r="L440" i="95" s="1"/>
  <c r="J438" i="95"/>
  <c r="L438" i="95" s="1"/>
  <c r="J419" i="95"/>
  <c r="L419" i="95" s="1"/>
  <c r="J421" i="95"/>
  <c r="L421" i="95" s="1"/>
  <c r="J422" i="95"/>
  <c r="L422" i="95" s="1"/>
  <c r="J423" i="95"/>
  <c r="L423" i="95" s="1"/>
  <c r="J436" i="95"/>
  <c r="L436" i="95" s="1"/>
  <c r="J439" i="95"/>
  <c r="L439" i="95" s="1"/>
  <c r="J437" i="95"/>
  <c r="L437" i="95" s="1"/>
  <c r="J429" i="95"/>
  <c r="L429" i="95" s="1"/>
  <c r="J424" i="95"/>
  <c r="L424" i="95" s="1"/>
  <c r="J430" i="95"/>
  <c r="L430" i="95" s="1"/>
  <c r="J420" i="95"/>
  <c r="L420" i="95" s="1"/>
  <c r="J428" i="95"/>
  <c r="L428" i="95" s="1"/>
  <c r="J431" i="95"/>
  <c r="L431" i="95" s="1"/>
  <c r="J427" i="95"/>
  <c r="L427" i="95" s="1"/>
  <c r="J432" i="95"/>
  <c r="L432" i="95" s="1"/>
  <c r="J435" i="95"/>
  <c r="L435" i="95" s="1"/>
  <c r="J230" i="95"/>
  <c r="L230" i="95" s="1"/>
  <c r="J231" i="95"/>
  <c r="L231" i="95" s="1"/>
  <c r="J236" i="95"/>
  <c r="L236" i="95" s="1"/>
  <c r="J240" i="95"/>
  <c r="L240" i="95" s="1"/>
  <c r="J238" i="95"/>
  <c r="L238" i="95" s="1"/>
  <c r="J234" i="95"/>
  <c r="L234" i="95" s="1"/>
  <c r="J232" i="95"/>
  <c r="L232" i="95" s="1"/>
  <c r="J239" i="95"/>
  <c r="L239" i="95" s="1"/>
  <c r="J235" i="95"/>
  <c r="L235" i="95" s="1"/>
  <c r="J237" i="95"/>
  <c r="L237" i="95" s="1"/>
  <c r="J233" i="95"/>
  <c r="L233" i="95" s="1"/>
  <c r="J307" i="95"/>
  <c r="L307" i="95" s="1"/>
  <c r="J293" i="95"/>
  <c r="L293" i="95" s="1"/>
  <c r="J285" i="95"/>
  <c r="L285" i="95" s="1"/>
  <c r="J308" i="95"/>
  <c r="L308" i="95" s="1"/>
  <c r="J288" i="95"/>
  <c r="L288" i="95" s="1"/>
  <c r="J300" i="95"/>
  <c r="L300" i="95" s="1"/>
  <c r="J297" i="95"/>
  <c r="L297" i="95" s="1"/>
  <c r="J290" i="95"/>
  <c r="L290" i="95" s="1"/>
  <c r="J295" i="95"/>
  <c r="L295" i="95" s="1"/>
  <c r="J283" i="95"/>
  <c r="L283" i="95" s="1"/>
  <c r="J287" i="95"/>
  <c r="L287" i="95" s="1"/>
  <c r="J289" i="95"/>
  <c r="L289" i="95" s="1"/>
  <c r="J304" i="95"/>
  <c r="L304" i="95" s="1"/>
  <c r="J296" i="95"/>
  <c r="L296" i="95" s="1"/>
  <c r="J309" i="95"/>
  <c r="L309" i="95" s="1"/>
  <c r="J306" i="95"/>
  <c r="L306" i="95" s="1"/>
  <c r="J286" i="95"/>
  <c r="L286" i="95" s="1"/>
  <c r="J305" i="95"/>
  <c r="L305" i="95" s="1"/>
  <c r="J303" i="95"/>
  <c r="L303" i="95" s="1"/>
  <c r="J310" i="95"/>
  <c r="L310" i="95" s="1"/>
  <c r="J299" i="95"/>
  <c r="L299" i="95" s="1"/>
  <c r="J284" i="95"/>
  <c r="L284" i="95" s="1"/>
  <c r="J298" i="95"/>
  <c r="L298" i="95" s="1"/>
  <c r="J294" i="95"/>
  <c r="L294" i="95" s="1"/>
  <c r="F28" i="24" l="1"/>
  <c r="F29" i="24"/>
  <c r="F30" i="24"/>
  <c r="E31" i="24"/>
  <c r="F31" i="24"/>
  <c r="C31" i="24"/>
  <c r="C30" i="24"/>
  <c r="C29" i="24"/>
  <c r="C28" i="24"/>
  <c r="C32" i="24" l="1"/>
  <c r="F32" i="24"/>
  <c r="W139" i="51" l="1"/>
  <c r="T139" i="51"/>
  <c r="AC139" i="51"/>
  <c r="W138" i="51"/>
  <c r="T138" i="51"/>
  <c r="AC138" i="51"/>
  <c r="W137" i="51"/>
  <c r="T137" i="51"/>
  <c r="AC137" i="51"/>
  <c r="W136" i="51"/>
  <c r="T136" i="51"/>
  <c r="AC136" i="51"/>
  <c r="W135" i="51"/>
  <c r="T135" i="51"/>
  <c r="AC135" i="51"/>
  <c r="W134" i="51"/>
  <c r="T134" i="51"/>
  <c r="AC134" i="51"/>
  <c r="W133" i="51"/>
  <c r="T133" i="51"/>
  <c r="AC133" i="51"/>
  <c r="W132" i="51"/>
  <c r="T132" i="51"/>
  <c r="AC132" i="51"/>
  <c r="W131" i="51"/>
  <c r="T131" i="51"/>
  <c r="AC131" i="51"/>
  <c r="W130" i="51"/>
  <c r="T130" i="51"/>
  <c r="AC130" i="51"/>
  <c r="W129" i="51"/>
  <c r="T129" i="51"/>
  <c r="AC129" i="51"/>
  <c r="W128" i="51"/>
  <c r="T128" i="51"/>
  <c r="AC128" i="51"/>
  <c r="AB67" i="51"/>
  <c r="W67" i="51"/>
  <c r="T67" i="51"/>
  <c r="N67" i="51"/>
  <c r="O67" i="51" s="1"/>
  <c r="G67" i="51"/>
  <c r="AB66" i="51"/>
  <c r="W66" i="51"/>
  <c r="T66" i="51"/>
  <c r="N66" i="51"/>
  <c r="O66" i="51" s="1"/>
  <c r="G66" i="51"/>
  <c r="AB65" i="51"/>
  <c r="W65" i="51"/>
  <c r="T65" i="51"/>
  <c r="N65" i="51"/>
  <c r="O65" i="51" s="1"/>
  <c r="G65" i="51"/>
  <c r="AB64" i="51"/>
  <c r="W64" i="51"/>
  <c r="T64" i="51"/>
  <c r="N64" i="51"/>
  <c r="O64" i="51" s="1"/>
  <c r="G64" i="51"/>
  <c r="AB63" i="51"/>
  <c r="W63" i="51"/>
  <c r="T63" i="51"/>
  <c r="N63" i="51"/>
  <c r="O63" i="51" s="1"/>
  <c r="G63" i="51"/>
  <c r="AB62" i="51"/>
  <c r="W62" i="51"/>
  <c r="T62" i="51"/>
  <c r="N62" i="51"/>
  <c r="O62" i="51" s="1"/>
  <c r="G62" i="51"/>
  <c r="AB61" i="51"/>
  <c r="W61" i="51"/>
  <c r="T61" i="51"/>
  <c r="N61" i="51"/>
  <c r="O61" i="51" s="1"/>
  <c r="G61" i="51"/>
  <c r="AB60" i="51"/>
  <c r="W60" i="51"/>
  <c r="T60" i="51"/>
  <c r="N60" i="51"/>
  <c r="O60" i="51" s="1"/>
  <c r="G60" i="51"/>
  <c r="AB59" i="51"/>
  <c r="W59" i="51"/>
  <c r="T59" i="51"/>
  <c r="N59" i="51"/>
  <c r="O59" i="51" s="1"/>
  <c r="G59" i="51"/>
  <c r="AB58" i="51"/>
  <c r="W58" i="51"/>
  <c r="T58" i="51"/>
  <c r="N58" i="51"/>
  <c r="O58" i="51" s="1"/>
  <c r="G58" i="51"/>
  <c r="AB57" i="51"/>
  <c r="W57" i="51"/>
  <c r="T57" i="51"/>
  <c r="N57" i="51"/>
  <c r="O57" i="51" s="1"/>
  <c r="G57" i="51"/>
  <c r="AB56" i="51"/>
  <c r="W56" i="51"/>
  <c r="T56" i="51"/>
  <c r="N56" i="51"/>
  <c r="O56" i="51" s="1"/>
  <c r="G56" i="51"/>
  <c r="G10" i="50"/>
  <c r="I10" i="50"/>
  <c r="AC10" i="50"/>
  <c r="G11" i="50"/>
  <c r="I11" i="50"/>
  <c r="AC11" i="50"/>
  <c r="G12" i="50"/>
  <c r="I12" i="50"/>
  <c r="AC12" i="50"/>
  <c r="G13" i="50"/>
  <c r="I13" i="50"/>
  <c r="AC13" i="50"/>
  <c r="G14" i="50"/>
  <c r="I14" i="50"/>
  <c r="AC14" i="50"/>
  <c r="G15" i="50"/>
  <c r="I15" i="50"/>
  <c r="AC15" i="50"/>
  <c r="G16" i="50"/>
  <c r="I16" i="50"/>
  <c r="AC16" i="50"/>
  <c r="G17" i="50"/>
  <c r="I17" i="50"/>
  <c r="AC17" i="50"/>
  <c r="G18" i="50"/>
  <c r="I18" i="50"/>
  <c r="AC18" i="50"/>
  <c r="G19" i="50"/>
  <c r="I19" i="50"/>
  <c r="AC19" i="50"/>
  <c r="G20" i="50"/>
  <c r="I20" i="50"/>
  <c r="AC20" i="50"/>
  <c r="G21" i="50"/>
  <c r="I21" i="50"/>
  <c r="AC21" i="50"/>
  <c r="G22" i="50"/>
  <c r="I22" i="50"/>
  <c r="AC22" i="50"/>
  <c r="N135" i="51" l="1"/>
  <c r="O135" i="51" s="1"/>
  <c r="N133" i="51"/>
  <c r="O133" i="51" s="1"/>
  <c r="N131" i="51"/>
  <c r="O131" i="51" s="1"/>
  <c r="N139" i="51"/>
  <c r="O139" i="51" s="1"/>
  <c r="N129" i="51"/>
  <c r="O129" i="51" s="1"/>
  <c r="N137" i="51"/>
  <c r="O137" i="51" s="1"/>
  <c r="N128" i="51"/>
  <c r="O128" i="51" s="1"/>
  <c r="G128" i="51"/>
  <c r="N130" i="51"/>
  <c r="O130" i="51" s="1"/>
  <c r="G130" i="51"/>
  <c r="N134" i="51"/>
  <c r="O134" i="51" s="1"/>
  <c r="G134" i="51"/>
  <c r="N132" i="51"/>
  <c r="O132" i="51" s="1"/>
  <c r="G132" i="51"/>
  <c r="N136" i="51"/>
  <c r="O136" i="51" s="1"/>
  <c r="G136" i="51"/>
  <c r="N138" i="51"/>
  <c r="O138" i="51" s="1"/>
  <c r="G138" i="51"/>
  <c r="G129" i="51"/>
  <c r="G131" i="51"/>
  <c r="G133" i="51"/>
  <c r="G135" i="51"/>
  <c r="G137" i="51"/>
  <c r="G139" i="51"/>
  <c r="O12" i="50" l="1"/>
  <c r="O10" i="50"/>
  <c r="O13" i="50"/>
  <c r="O11" i="50"/>
  <c r="O14" i="50"/>
  <c r="O16" i="50"/>
  <c r="O18" i="50"/>
  <c r="O20" i="50"/>
  <c r="O22" i="50"/>
  <c r="O15" i="50"/>
  <c r="O17" i="50"/>
  <c r="O19" i="50"/>
  <c r="P134" i="51" s="1"/>
  <c r="O21" i="50"/>
  <c r="P131" i="51" l="1"/>
  <c r="P128" i="51"/>
  <c r="P136" i="51"/>
  <c r="P132" i="51"/>
  <c r="P63" i="51"/>
  <c r="P56" i="51"/>
  <c r="P61" i="51"/>
  <c r="P66" i="51"/>
  <c r="P59" i="51"/>
  <c r="P62" i="51"/>
  <c r="P60" i="51"/>
  <c r="P64" i="51"/>
  <c r="P57" i="51"/>
  <c r="P67" i="51"/>
  <c r="P65" i="51"/>
  <c r="P58" i="51"/>
  <c r="P135" i="51"/>
  <c r="P138" i="51"/>
  <c r="P133" i="51"/>
  <c r="P139" i="51"/>
  <c r="P129" i="51"/>
  <c r="P137" i="51"/>
  <c r="P160" i="51"/>
  <c r="P158" i="51"/>
  <c r="P163" i="51"/>
  <c r="P156" i="51"/>
  <c r="P161" i="51"/>
  <c r="P153" i="51"/>
  <c r="P155" i="51"/>
  <c r="P159" i="51"/>
  <c r="P152" i="51"/>
  <c r="P157" i="51"/>
  <c r="P154" i="51"/>
  <c r="P162" i="51"/>
  <c r="P130" i="51"/>
  <c r="P146" i="51"/>
  <c r="P148" i="51"/>
  <c r="P150" i="51"/>
  <c r="P144" i="51"/>
  <c r="P147" i="51"/>
  <c r="P143" i="51"/>
  <c r="P149" i="51"/>
  <c r="P151" i="51"/>
  <c r="P141" i="51"/>
  <c r="P140" i="51"/>
  <c r="P142" i="51"/>
  <c r="P145" i="51"/>
  <c r="P108" i="51"/>
  <c r="P104" i="51"/>
  <c r="P115" i="51"/>
  <c r="P107" i="51"/>
  <c r="P105" i="51"/>
  <c r="P111" i="51"/>
  <c r="P113" i="51"/>
  <c r="P112" i="51"/>
  <c r="P110" i="51"/>
  <c r="P106" i="51"/>
  <c r="P114" i="51"/>
  <c r="P109" i="51"/>
  <c r="P85" i="51"/>
  <c r="P87" i="51"/>
  <c r="P81" i="51"/>
  <c r="P91" i="51"/>
  <c r="P86" i="51"/>
  <c r="P90" i="51"/>
  <c r="P89" i="51"/>
  <c r="P80" i="51"/>
  <c r="P84" i="51"/>
  <c r="P83" i="51"/>
  <c r="P82" i="51"/>
  <c r="P88" i="51"/>
  <c r="P25" i="51"/>
  <c r="P31" i="51"/>
  <c r="P26" i="51"/>
  <c r="P24" i="51"/>
  <c r="P28" i="51"/>
  <c r="P20" i="51"/>
  <c r="P30" i="51"/>
  <c r="P29" i="51"/>
  <c r="P27" i="51"/>
  <c r="P21" i="51"/>
  <c r="P23" i="51"/>
  <c r="P22" i="51"/>
  <c r="L14" i="50"/>
  <c r="L16" i="50"/>
  <c r="L18" i="50"/>
  <c r="L10" i="50"/>
  <c r="L11" i="50"/>
  <c r="L15" i="50"/>
  <c r="L17" i="50"/>
  <c r="J139" i="51"/>
  <c r="J136" i="51"/>
  <c r="J133" i="51"/>
  <c r="J130" i="51"/>
  <c r="L20" i="50"/>
  <c r="L22" i="50"/>
  <c r="J137" i="51"/>
  <c r="J134" i="51"/>
  <c r="J131" i="51"/>
  <c r="J128" i="51"/>
  <c r="J67" i="51"/>
  <c r="J66" i="51"/>
  <c r="J65" i="51"/>
  <c r="J64" i="51"/>
  <c r="J63" i="51"/>
  <c r="J62" i="51"/>
  <c r="J61" i="51"/>
  <c r="J60" i="51"/>
  <c r="J59" i="51"/>
  <c r="J58" i="51"/>
  <c r="J57" i="51"/>
  <c r="J56" i="51"/>
  <c r="L13" i="50"/>
  <c r="L19" i="50"/>
  <c r="L21" i="50"/>
  <c r="J138" i="51"/>
  <c r="J135" i="51"/>
  <c r="J132" i="51"/>
  <c r="J129" i="51"/>
  <c r="H12" i="50"/>
  <c r="H136" i="51"/>
  <c r="H133" i="51"/>
  <c r="H130" i="51"/>
  <c r="H139" i="51"/>
  <c r="H13" i="50"/>
  <c r="H15" i="50"/>
  <c r="H17" i="50"/>
  <c r="H19" i="50"/>
  <c r="H21" i="50"/>
  <c r="H11" i="50"/>
  <c r="H67" i="51"/>
  <c r="H66" i="51"/>
  <c r="H65" i="51"/>
  <c r="H64" i="51"/>
  <c r="H63" i="51"/>
  <c r="H62" i="51"/>
  <c r="H61" i="51"/>
  <c r="H60" i="51"/>
  <c r="H59" i="51"/>
  <c r="H58" i="51"/>
  <c r="H57" i="51"/>
  <c r="H56" i="51"/>
  <c r="H137" i="51"/>
  <c r="H134" i="51"/>
  <c r="H131" i="51"/>
  <c r="H128" i="51"/>
  <c r="H10" i="50"/>
  <c r="H138" i="51"/>
  <c r="H135" i="51"/>
  <c r="H132" i="51"/>
  <c r="H129" i="51"/>
  <c r="H14" i="50"/>
  <c r="H16" i="50"/>
  <c r="H18" i="50"/>
  <c r="H20" i="50"/>
  <c r="H22" i="50"/>
  <c r="G9" i="50"/>
  <c r="AB9" i="51"/>
  <c r="AB10" i="51"/>
  <c r="AB11" i="51"/>
  <c r="AB12" i="51"/>
  <c r="AB13" i="51"/>
  <c r="AB14" i="51"/>
  <c r="AB15" i="51"/>
  <c r="AB16" i="51"/>
  <c r="AB17" i="51"/>
  <c r="AB18" i="51"/>
  <c r="AB19" i="51"/>
  <c r="AB32" i="51"/>
  <c r="AB33" i="51"/>
  <c r="AB34" i="51"/>
  <c r="AB35" i="51"/>
  <c r="AB36" i="51"/>
  <c r="AB37" i="51"/>
  <c r="AB38" i="51"/>
  <c r="AB39" i="51"/>
  <c r="AB40" i="51"/>
  <c r="AB41" i="51"/>
  <c r="AB42" i="51"/>
  <c r="AB43" i="51"/>
  <c r="AB44" i="51"/>
  <c r="AB45" i="51"/>
  <c r="AB46" i="51"/>
  <c r="AB47" i="51"/>
  <c r="AB48" i="51"/>
  <c r="AB49" i="51"/>
  <c r="AB50" i="51"/>
  <c r="AB51" i="51"/>
  <c r="AB52" i="51"/>
  <c r="AB53" i="51"/>
  <c r="AB54" i="51"/>
  <c r="AB55" i="51"/>
  <c r="N8" i="51"/>
  <c r="O8" i="51" s="1"/>
  <c r="N9" i="51"/>
  <c r="N10" i="51"/>
  <c r="N11" i="51"/>
  <c r="N12" i="51"/>
  <c r="N13" i="51"/>
  <c r="N14" i="51"/>
  <c r="N15" i="51"/>
  <c r="N16" i="51"/>
  <c r="N17" i="51"/>
  <c r="N18" i="51"/>
  <c r="N19" i="51"/>
  <c r="N32" i="51"/>
  <c r="N33" i="51"/>
  <c r="N34" i="51"/>
  <c r="N35" i="51"/>
  <c r="N36" i="51"/>
  <c r="N37" i="51"/>
  <c r="N38" i="51"/>
  <c r="N39" i="51"/>
  <c r="N40" i="51"/>
  <c r="N41" i="51"/>
  <c r="N42" i="51"/>
  <c r="N43" i="51"/>
  <c r="N44" i="51"/>
  <c r="N45" i="51"/>
  <c r="N46" i="51"/>
  <c r="N47" i="51"/>
  <c r="N48" i="51"/>
  <c r="N49" i="51"/>
  <c r="N50" i="51"/>
  <c r="N51" i="51"/>
  <c r="N52" i="51"/>
  <c r="N53" i="51"/>
  <c r="N54" i="51"/>
  <c r="N55" i="51"/>
  <c r="Q106" i="51" l="1"/>
  <c r="Q154" i="51"/>
  <c r="Q142" i="51"/>
  <c r="Q22" i="51"/>
  <c r="Q82" i="51"/>
  <c r="Q149" i="51"/>
  <c r="Q89" i="51"/>
  <c r="Q161" i="51"/>
  <c r="Q113" i="51"/>
  <c r="Q29" i="51"/>
  <c r="Q31" i="51"/>
  <c r="Q91" i="51"/>
  <c r="Q115" i="51"/>
  <c r="Q151" i="51"/>
  <c r="Q163" i="51"/>
  <c r="Q174" i="51"/>
  <c r="Q90" i="51"/>
  <c r="Q30" i="51"/>
  <c r="Q162" i="51"/>
  <c r="Q114" i="51"/>
  <c r="Q150" i="51"/>
  <c r="Q160" i="51"/>
  <c r="Q88" i="51"/>
  <c r="Q112" i="51"/>
  <c r="Q148" i="51"/>
  <c r="Q28" i="51"/>
  <c r="Q8" i="51"/>
  <c r="Q104" i="51"/>
  <c r="Q20" i="51"/>
  <c r="Q152" i="51"/>
  <c r="Q140" i="51"/>
  <c r="Q80" i="51"/>
  <c r="Q27" i="51"/>
  <c r="Q147" i="51"/>
  <c r="Q87" i="51"/>
  <c r="Q159" i="51"/>
  <c r="Q111" i="51"/>
  <c r="Q143" i="51"/>
  <c r="Q83" i="51"/>
  <c r="Q155" i="51"/>
  <c r="Q23" i="51"/>
  <c r="Q107" i="51"/>
  <c r="Q11" i="51"/>
  <c r="Q21" i="51"/>
  <c r="Q81" i="51"/>
  <c r="Q153" i="51"/>
  <c r="Q105" i="51"/>
  <c r="Q141" i="51"/>
  <c r="Q110" i="51"/>
  <c r="Q158" i="51"/>
  <c r="Q146" i="51"/>
  <c r="Q86" i="51"/>
  <c r="Q26" i="51"/>
  <c r="Q109" i="51"/>
  <c r="Q145" i="51"/>
  <c r="Q25" i="51"/>
  <c r="Q85" i="51"/>
  <c r="Q157" i="51"/>
  <c r="Q24" i="51"/>
  <c r="Q156" i="51"/>
  <c r="Q108" i="51"/>
  <c r="Q144" i="51"/>
  <c r="Q84" i="51"/>
  <c r="Q57" i="51"/>
  <c r="Q129" i="51"/>
  <c r="Q56" i="51"/>
  <c r="Q128" i="51"/>
  <c r="Q67" i="51"/>
  <c r="Q139" i="51"/>
  <c r="Q59" i="51"/>
  <c r="Q131" i="51"/>
  <c r="Q66" i="51"/>
  <c r="Q138" i="51"/>
  <c r="Q58" i="51"/>
  <c r="Q130" i="51"/>
  <c r="Q65" i="51"/>
  <c r="Q137" i="51"/>
  <c r="Q64" i="51"/>
  <c r="Q136" i="51"/>
  <c r="Q15" i="51"/>
  <c r="Q63" i="51"/>
  <c r="Q135" i="51"/>
  <c r="Q62" i="51"/>
  <c r="Q134" i="51"/>
  <c r="Q61" i="51"/>
  <c r="Q133" i="51"/>
  <c r="Q60" i="51"/>
  <c r="Q132" i="51"/>
  <c r="Q69" i="51"/>
  <c r="Q175" i="51"/>
  <c r="Q68" i="51"/>
  <c r="Q55" i="51"/>
  <c r="Q37" i="51"/>
  <c r="Q93" i="51"/>
  <c r="Q9" i="51"/>
  <c r="Q169" i="51"/>
  <c r="Q92" i="51"/>
  <c r="Q97" i="51"/>
  <c r="Q127" i="51"/>
  <c r="Q49" i="51"/>
  <c r="Q121" i="51"/>
  <c r="Q12" i="51"/>
  <c r="Q96" i="51"/>
  <c r="Q48" i="51"/>
  <c r="Q45" i="51"/>
  <c r="Q120" i="51"/>
  <c r="Q165" i="51"/>
  <c r="Q116" i="51"/>
  <c r="Q36" i="51"/>
  <c r="Q167" i="51"/>
  <c r="Q164" i="51"/>
  <c r="Q103" i="51"/>
  <c r="Q73" i="51"/>
  <c r="Q32" i="51"/>
  <c r="Q168" i="51"/>
  <c r="Q44" i="51"/>
  <c r="Q117" i="51"/>
  <c r="Q79" i="51"/>
  <c r="Q33" i="51"/>
  <c r="Q102" i="51"/>
  <c r="Q72" i="51"/>
  <c r="Q13" i="51"/>
  <c r="Q95" i="51"/>
  <c r="Q71" i="51"/>
  <c r="Q35" i="51"/>
  <c r="Q119" i="51"/>
  <c r="Q47" i="51"/>
  <c r="Q166" i="51"/>
  <c r="Q94" i="51"/>
  <c r="Q118" i="51"/>
  <c r="Q70" i="51"/>
  <c r="Q46" i="51"/>
  <c r="Q34" i="51"/>
  <c r="Q10" i="51"/>
  <c r="Q43" i="51"/>
  <c r="Q19" i="51"/>
  <c r="Q126" i="51"/>
  <c r="Q78" i="51"/>
  <c r="Q54" i="51"/>
  <c r="Q42" i="51"/>
  <c r="Q18" i="51"/>
  <c r="Q173" i="51"/>
  <c r="Q101" i="51"/>
  <c r="Q125" i="51"/>
  <c r="Q77" i="51"/>
  <c r="Q53" i="51"/>
  <c r="Q41" i="51"/>
  <c r="Q17" i="51"/>
  <c r="Q172" i="51"/>
  <c r="Q100" i="51"/>
  <c r="Q124" i="51"/>
  <c r="Q76" i="51"/>
  <c r="Q52" i="51"/>
  <c r="Q40" i="51"/>
  <c r="Q16" i="51"/>
  <c r="Q171" i="51"/>
  <c r="Q99" i="51"/>
  <c r="Q123" i="51"/>
  <c r="Q75" i="51"/>
  <c r="Q51" i="51"/>
  <c r="Q39" i="51"/>
  <c r="Q170" i="51"/>
  <c r="Q98" i="51"/>
  <c r="Q122" i="51"/>
  <c r="Q74" i="51"/>
  <c r="Q50" i="51"/>
  <c r="Q38" i="51"/>
  <c r="Q14" i="51"/>
  <c r="G8" i="51"/>
  <c r="G9" i="51"/>
  <c r="G10" i="51"/>
  <c r="G11" i="51"/>
  <c r="G12" i="51"/>
  <c r="G13" i="51"/>
  <c r="G14" i="51"/>
  <c r="G15" i="51"/>
  <c r="G16" i="51"/>
  <c r="G17" i="51"/>
  <c r="G18" i="51"/>
  <c r="G19" i="51"/>
  <c r="G32" i="51"/>
  <c r="G33" i="51"/>
  <c r="G34" i="51"/>
  <c r="G35" i="51"/>
  <c r="G36" i="51"/>
  <c r="G37" i="51"/>
  <c r="G38" i="51"/>
  <c r="G39" i="51"/>
  <c r="G40" i="51"/>
  <c r="G41" i="51"/>
  <c r="G42" i="51"/>
  <c r="G43" i="51"/>
  <c r="G44" i="51"/>
  <c r="G45" i="51"/>
  <c r="G46" i="51"/>
  <c r="G47" i="51"/>
  <c r="G48" i="51"/>
  <c r="G49" i="51"/>
  <c r="G50" i="51"/>
  <c r="G51" i="51"/>
  <c r="G52" i="51"/>
  <c r="G53" i="51"/>
  <c r="G54" i="51"/>
  <c r="G55" i="51"/>
  <c r="I17" i="65" l="1"/>
  <c r="E22" i="24" l="1"/>
  <c r="E10" i="24"/>
  <c r="E21" i="24"/>
  <c r="E16" i="24"/>
  <c r="E20" i="24"/>
  <c r="E15" i="24"/>
  <c r="E8" i="24"/>
  <c r="E30" i="24" l="1"/>
  <c r="E29" i="24"/>
  <c r="E28" i="24"/>
  <c r="D8" i="91"/>
  <c r="D9" i="91"/>
  <c r="D10" i="91"/>
  <c r="D7" i="91"/>
  <c r="F16" i="54"/>
  <c r="E16" i="54"/>
  <c r="D16" i="54"/>
  <c r="F13" i="54"/>
  <c r="E13" i="54"/>
  <c r="D13" i="54"/>
  <c r="E32" i="24" l="1"/>
  <c r="AH17" i="90"/>
  <c r="AH49" i="90" s="1"/>
  <c r="AI17" i="90"/>
  <c r="AI49" i="90" s="1"/>
  <c r="F15" i="90"/>
  <c r="G15" i="90"/>
  <c r="H15" i="90"/>
  <c r="J15" i="90"/>
  <c r="L15" i="90"/>
  <c r="M15" i="90"/>
  <c r="N15" i="90"/>
  <c r="O15" i="90"/>
  <c r="P15" i="90"/>
  <c r="Q15" i="90"/>
  <c r="R15" i="90"/>
  <c r="S15" i="90"/>
  <c r="T15" i="90"/>
  <c r="U15" i="90"/>
  <c r="V15" i="90"/>
  <c r="W15" i="90"/>
  <c r="X15" i="90"/>
  <c r="Y15" i="90"/>
  <c r="Z15" i="90"/>
  <c r="AA15" i="90"/>
  <c r="AB15" i="90"/>
  <c r="AC15" i="90"/>
  <c r="AE15" i="90"/>
  <c r="AG15" i="90"/>
  <c r="E15" i="90"/>
  <c r="D15" i="90"/>
  <c r="D49" i="90"/>
  <c r="E49" i="90"/>
  <c r="F49" i="90"/>
  <c r="G49" i="90"/>
  <c r="H49" i="90"/>
  <c r="I49" i="90"/>
  <c r="J49" i="90"/>
  <c r="K49" i="90"/>
  <c r="L49" i="90"/>
  <c r="M49" i="90"/>
  <c r="N49" i="90"/>
  <c r="O49" i="90"/>
  <c r="P49" i="90"/>
  <c r="Q49" i="90"/>
  <c r="R49" i="90"/>
  <c r="S49" i="90"/>
  <c r="T49" i="90"/>
  <c r="U49" i="90"/>
  <c r="V49" i="90"/>
  <c r="W49" i="90"/>
  <c r="X49" i="90"/>
  <c r="Y49" i="90"/>
  <c r="Z49" i="90"/>
  <c r="AA49" i="90"/>
  <c r="AB49" i="90"/>
  <c r="AC49" i="90"/>
  <c r="AD49" i="90"/>
  <c r="AE49" i="90"/>
  <c r="AF49" i="90"/>
  <c r="AG49" i="90"/>
  <c r="AH13" i="90" l="1"/>
  <c r="H32" i="90" l="1"/>
  <c r="G15" i="54" s="1"/>
  <c r="G32" i="90"/>
  <c r="E32" i="90"/>
  <c r="D15" i="54" s="1"/>
  <c r="D14" i="54" s="1"/>
  <c r="H29" i="90"/>
  <c r="G12" i="54" s="1"/>
  <c r="E29" i="90"/>
  <c r="D12" i="54" s="1"/>
  <c r="E26" i="90"/>
  <c r="D10" i="54" s="1"/>
  <c r="G26" i="90"/>
  <c r="F10" i="54" s="1"/>
  <c r="H26" i="90"/>
  <c r="G10" i="54" s="1"/>
  <c r="H27" i="90"/>
  <c r="G11" i="54" s="1"/>
  <c r="G27" i="90"/>
  <c r="F11" i="54" s="1"/>
  <c r="E27" i="90"/>
  <c r="D11" i="54" s="1"/>
  <c r="F10" i="90"/>
  <c r="L31" i="90"/>
  <c r="M31" i="90"/>
  <c r="N31" i="90"/>
  <c r="O31" i="90"/>
  <c r="P31" i="90"/>
  <c r="Q31" i="90"/>
  <c r="R31" i="90"/>
  <c r="S31" i="90"/>
  <c r="T31" i="90"/>
  <c r="U31" i="90"/>
  <c r="V31" i="90"/>
  <c r="W31" i="90"/>
  <c r="X31" i="90"/>
  <c r="Y31" i="90"/>
  <c r="Z31" i="90"/>
  <c r="AA31" i="90"/>
  <c r="AB31" i="90"/>
  <c r="AC31" i="90"/>
  <c r="AE31" i="90"/>
  <c r="AG31" i="90"/>
  <c r="D9" i="54" l="1"/>
  <c r="E31" i="90"/>
  <c r="G31" i="90"/>
  <c r="F15" i="54"/>
  <c r="F14" i="54" s="1"/>
  <c r="AH12" i="90"/>
  <c r="AH10" i="90"/>
  <c r="I28" i="90"/>
  <c r="I16" i="90"/>
  <c r="I13" i="90"/>
  <c r="I12" i="90"/>
  <c r="I10" i="90"/>
  <c r="K28" i="90" l="1"/>
  <c r="AH16" i="90"/>
  <c r="AI28" i="90" l="1"/>
  <c r="AH28" i="90"/>
  <c r="E47" i="1" l="1"/>
  <c r="E7" i="91"/>
  <c r="I7" i="91" s="1"/>
  <c r="E49" i="1"/>
  <c r="AD30" i="90" l="1"/>
  <c r="AF30" i="90" s="1"/>
  <c r="AD34" i="90"/>
  <c r="AG50" i="90"/>
  <c r="AE50" i="90"/>
  <c r="AC50" i="90"/>
  <c r="AB50" i="90"/>
  <c r="AA50" i="90"/>
  <c r="Z50" i="90"/>
  <c r="Y50" i="90"/>
  <c r="X50" i="90"/>
  <c r="W50" i="90"/>
  <c r="V50" i="90"/>
  <c r="U50" i="90"/>
  <c r="T50" i="90"/>
  <c r="S50" i="90"/>
  <c r="R50" i="90"/>
  <c r="Q50" i="90"/>
  <c r="P50" i="90"/>
  <c r="O50" i="90"/>
  <c r="N50" i="90"/>
  <c r="M50" i="90"/>
  <c r="L50" i="90"/>
  <c r="J50" i="90"/>
  <c r="G50" i="90"/>
  <c r="F50" i="90"/>
  <c r="E50" i="90"/>
  <c r="D50" i="90"/>
  <c r="AG46" i="90"/>
  <c r="AE46" i="90"/>
  <c r="AC46" i="90"/>
  <c r="AB46" i="90"/>
  <c r="AA46" i="90"/>
  <c r="Z46" i="90"/>
  <c r="Y46" i="90"/>
  <c r="X46" i="90"/>
  <c r="W46" i="90"/>
  <c r="V46" i="90"/>
  <c r="U46" i="90"/>
  <c r="T46" i="90"/>
  <c r="S46" i="90"/>
  <c r="R46" i="90"/>
  <c r="Q46" i="90"/>
  <c r="P46" i="90"/>
  <c r="O46" i="90"/>
  <c r="N46" i="90"/>
  <c r="M46" i="90"/>
  <c r="L46" i="90"/>
  <c r="J46" i="90"/>
  <c r="G46" i="90"/>
  <c r="F46" i="90"/>
  <c r="E46" i="90"/>
  <c r="D46" i="90"/>
  <c r="AF34" i="90" l="1"/>
  <c r="AD31" i="90"/>
  <c r="AF46" i="90"/>
  <c r="AF31" i="90" l="1"/>
  <c r="W25" i="90"/>
  <c r="E25" i="90"/>
  <c r="Z25" i="90"/>
  <c r="N25" i="90"/>
  <c r="Y25" i="90"/>
  <c r="M25" i="90"/>
  <c r="U25" i="90"/>
  <c r="V25" i="90"/>
  <c r="AG25" i="90"/>
  <c r="S25" i="90"/>
  <c r="T25" i="90"/>
  <c r="R25" i="90"/>
  <c r="L25" i="90"/>
  <c r="X25" i="90"/>
  <c r="AE25" i="90"/>
  <c r="AB25" i="90"/>
  <c r="AA25" i="90"/>
  <c r="O25" i="90"/>
  <c r="AC25" i="90"/>
  <c r="Q25" i="90"/>
  <c r="P25" i="90"/>
  <c r="V35" i="90" l="1"/>
  <c r="AG35" i="90"/>
  <c r="L35" i="90"/>
  <c r="N35" i="90"/>
  <c r="M35" i="90"/>
  <c r="U35" i="90"/>
  <c r="W35" i="90"/>
  <c r="Y35" i="90"/>
  <c r="Z35" i="90"/>
  <c r="S35" i="90"/>
  <c r="R35" i="90"/>
  <c r="E35" i="90"/>
  <c r="T35" i="90"/>
  <c r="AE35" i="90"/>
  <c r="AD25" i="90"/>
  <c r="X35" i="90"/>
  <c r="P35" i="90"/>
  <c r="Q35" i="90"/>
  <c r="AC35" i="90"/>
  <c r="AB35" i="90"/>
  <c r="O35" i="90"/>
  <c r="AA35" i="90"/>
  <c r="AD35" i="90" l="1"/>
  <c r="AF25" i="90"/>
  <c r="AF35" i="90" l="1"/>
  <c r="T8" i="51" l="1"/>
  <c r="T10" i="51"/>
  <c r="T11" i="51"/>
  <c r="T12" i="51"/>
  <c r="T13" i="51"/>
  <c r="T14" i="51"/>
  <c r="T15" i="51"/>
  <c r="T16" i="51"/>
  <c r="T17" i="51"/>
  <c r="T18" i="51"/>
  <c r="T19" i="51"/>
  <c r="T32" i="51"/>
  <c r="T33" i="51"/>
  <c r="T34" i="51"/>
  <c r="T35" i="51"/>
  <c r="T36" i="51"/>
  <c r="T37" i="51"/>
  <c r="T38" i="51"/>
  <c r="T39" i="51"/>
  <c r="T40" i="51"/>
  <c r="T41" i="51"/>
  <c r="T42" i="51"/>
  <c r="T43" i="51"/>
  <c r="T44" i="51"/>
  <c r="T45" i="51"/>
  <c r="T46" i="51"/>
  <c r="T47" i="51"/>
  <c r="T48" i="51"/>
  <c r="T49" i="51"/>
  <c r="T50" i="51"/>
  <c r="T51" i="51"/>
  <c r="T52" i="51"/>
  <c r="T53" i="51"/>
  <c r="T54" i="51"/>
  <c r="T55" i="51"/>
  <c r="T68" i="51"/>
  <c r="T69" i="51"/>
  <c r="T70" i="51"/>
  <c r="T71" i="51"/>
  <c r="T72" i="51"/>
  <c r="T73" i="51"/>
  <c r="T74" i="51"/>
  <c r="T75" i="51"/>
  <c r="T76" i="51"/>
  <c r="T77" i="51"/>
  <c r="T78" i="51"/>
  <c r="T79" i="51"/>
  <c r="T116" i="51"/>
  <c r="T117" i="51"/>
  <c r="T118" i="51"/>
  <c r="T119" i="51"/>
  <c r="T120" i="51"/>
  <c r="T121" i="51"/>
  <c r="T122" i="51"/>
  <c r="T123" i="51"/>
  <c r="T124" i="51"/>
  <c r="T125" i="51"/>
  <c r="T126" i="51"/>
  <c r="T127" i="51"/>
  <c r="T92" i="51"/>
  <c r="T93" i="51"/>
  <c r="T94" i="51"/>
  <c r="T95" i="51"/>
  <c r="T96" i="51"/>
  <c r="T97" i="51"/>
  <c r="T98" i="51"/>
  <c r="T99" i="51"/>
  <c r="T100" i="51"/>
  <c r="T101" i="51"/>
  <c r="T102" i="51"/>
  <c r="T103" i="51"/>
  <c r="T164" i="51"/>
  <c r="T165" i="51"/>
  <c r="T166" i="51"/>
  <c r="T167" i="51"/>
  <c r="T168" i="51"/>
  <c r="T169" i="51"/>
  <c r="T170" i="51"/>
  <c r="T171" i="51"/>
  <c r="T172" i="51"/>
  <c r="T173" i="51"/>
  <c r="T174" i="51"/>
  <c r="T175" i="51"/>
  <c r="I9" i="50" l="1"/>
  <c r="AI14" i="90" l="1"/>
  <c r="B26" i="28"/>
  <c r="B20" i="28"/>
  <c r="B8" i="28"/>
  <c r="Z21" i="28"/>
  <c r="Z22" i="28"/>
  <c r="Z23" i="28"/>
  <c r="Z24" i="28"/>
  <c r="Z25" i="28"/>
  <c r="Z27" i="28"/>
  <c r="Z28" i="28"/>
  <c r="Z29" i="28"/>
  <c r="Z30" i="28"/>
  <c r="Z31" i="28"/>
  <c r="E43" i="90"/>
  <c r="G43" i="90"/>
  <c r="H43" i="90"/>
  <c r="L43" i="90"/>
  <c r="M43" i="90"/>
  <c r="N43" i="90"/>
  <c r="O43" i="90"/>
  <c r="P43" i="90"/>
  <c r="Q43" i="90"/>
  <c r="R43" i="90"/>
  <c r="S43" i="90"/>
  <c r="T43" i="90"/>
  <c r="U43" i="90"/>
  <c r="V43" i="90"/>
  <c r="W43" i="90"/>
  <c r="X43" i="90"/>
  <c r="Y43" i="90"/>
  <c r="Z43" i="90"/>
  <c r="AA43" i="90"/>
  <c r="AB43" i="90"/>
  <c r="AC43" i="90"/>
  <c r="AE43" i="90"/>
  <c r="AG43" i="90"/>
  <c r="E44" i="90"/>
  <c r="F44" i="90"/>
  <c r="G44" i="90"/>
  <c r="H44" i="90"/>
  <c r="J44" i="90"/>
  <c r="K44" i="90"/>
  <c r="L44" i="90"/>
  <c r="M44" i="90"/>
  <c r="N44" i="90"/>
  <c r="O44" i="90"/>
  <c r="P44" i="90"/>
  <c r="Q44" i="90"/>
  <c r="R44" i="90"/>
  <c r="S44" i="90"/>
  <c r="T44" i="90"/>
  <c r="U44" i="90"/>
  <c r="V44" i="90"/>
  <c r="W44" i="90"/>
  <c r="X44" i="90"/>
  <c r="Y44" i="90"/>
  <c r="Z44" i="90"/>
  <c r="AA44" i="90"/>
  <c r="AB44" i="90"/>
  <c r="AC44" i="90"/>
  <c r="AE44" i="90"/>
  <c r="AG44" i="90"/>
  <c r="AD18" i="90"/>
  <c r="AD15" i="90" s="1"/>
  <c r="AH14" i="90"/>
  <c r="AD14" i="90"/>
  <c r="AD46" i="90" s="1"/>
  <c r="I18" i="90"/>
  <c r="I15" i="90" s="1"/>
  <c r="I14" i="90"/>
  <c r="AD50" i="90" l="1"/>
  <c r="AF18" i="90"/>
  <c r="AF15" i="90" s="1"/>
  <c r="AF43" i="90"/>
  <c r="E45" i="90"/>
  <c r="H45" i="90"/>
  <c r="J45" i="90"/>
  <c r="L45" i="90"/>
  <c r="M45" i="90"/>
  <c r="N45" i="90"/>
  <c r="O45" i="90"/>
  <c r="P45" i="90"/>
  <c r="Q45" i="90"/>
  <c r="R45" i="90"/>
  <c r="S45" i="90"/>
  <c r="T45" i="90"/>
  <c r="U45" i="90"/>
  <c r="V45" i="90"/>
  <c r="W45" i="90"/>
  <c r="X45" i="90"/>
  <c r="Y45" i="90"/>
  <c r="Z45" i="90"/>
  <c r="AA45" i="90"/>
  <c r="AB45" i="90"/>
  <c r="AC45" i="90"/>
  <c r="AE45" i="90"/>
  <c r="AG45" i="90"/>
  <c r="I44" i="90"/>
  <c r="AH18" i="90" l="1"/>
  <c r="AH15" i="90" s="1"/>
  <c r="AF50" i="90"/>
  <c r="AI18" i="90"/>
  <c r="AD43" i="90"/>
  <c r="AD44" i="90"/>
  <c r="F9" i="90"/>
  <c r="AA9" i="90" l="1"/>
  <c r="AA41" i="90" s="1"/>
  <c r="AA42" i="90"/>
  <c r="V47" i="90"/>
  <c r="V48" i="90"/>
  <c r="Z9" i="90"/>
  <c r="Z41" i="90" s="1"/>
  <c r="Z42" i="90"/>
  <c r="L47" i="90"/>
  <c r="L48" i="90"/>
  <c r="M47" i="90"/>
  <c r="M48" i="90"/>
  <c r="E41" i="90"/>
  <c r="E42" i="90"/>
  <c r="L9" i="90"/>
  <c r="L41" i="90" s="1"/>
  <c r="L42" i="90"/>
  <c r="W47" i="90"/>
  <c r="W48" i="90"/>
  <c r="P9" i="90"/>
  <c r="P41" i="90" s="1"/>
  <c r="P42" i="90"/>
  <c r="M9" i="90"/>
  <c r="M41" i="90" s="1"/>
  <c r="M42" i="90"/>
  <c r="S47" i="90"/>
  <c r="S48" i="90"/>
  <c r="N9" i="90"/>
  <c r="N41" i="90" s="1"/>
  <c r="N42" i="90"/>
  <c r="AC47" i="90"/>
  <c r="AC48" i="90"/>
  <c r="U9" i="90"/>
  <c r="U41" i="90" s="1"/>
  <c r="U42" i="90"/>
  <c r="U47" i="90"/>
  <c r="U48" i="90"/>
  <c r="O9" i="90"/>
  <c r="O41" i="90" s="1"/>
  <c r="AM41" i="90" s="1"/>
  <c r="O42" i="90"/>
  <c r="R9" i="90"/>
  <c r="R41" i="90" s="1"/>
  <c r="R42" i="90"/>
  <c r="X47" i="90"/>
  <c r="X48" i="90"/>
  <c r="Y47" i="90"/>
  <c r="Y48" i="90"/>
  <c r="AG47" i="90"/>
  <c r="AG48" i="90"/>
  <c r="Q9" i="90"/>
  <c r="Q41" i="90" s="1"/>
  <c r="Q42" i="90"/>
  <c r="AB47" i="90"/>
  <c r="AB48" i="90"/>
  <c r="AC9" i="90"/>
  <c r="AC41" i="90" s="1"/>
  <c r="AC42" i="90"/>
  <c r="P47" i="90"/>
  <c r="P48" i="90"/>
  <c r="X9" i="90"/>
  <c r="X41" i="90" s="1"/>
  <c r="X42" i="90"/>
  <c r="G47" i="90"/>
  <c r="G48" i="90"/>
  <c r="Q47" i="90"/>
  <c r="Q48" i="90"/>
  <c r="AB9" i="90"/>
  <c r="AB41" i="90" s="1"/>
  <c r="AB42" i="90"/>
  <c r="N47" i="90"/>
  <c r="N48" i="90"/>
  <c r="Y9" i="90"/>
  <c r="Y41" i="90" s="1"/>
  <c r="Y42" i="90"/>
  <c r="Z47" i="90"/>
  <c r="Z48" i="90"/>
  <c r="E47" i="90"/>
  <c r="E48" i="90"/>
  <c r="AA47" i="90"/>
  <c r="AA48" i="90"/>
  <c r="S9" i="90"/>
  <c r="S41" i="90" s="1"/>
  <c r="S42" i="90"/>
  <c r="R47" i="90"/>
  <c r="R48" i="90"/>
  <c r="T9" i="90"/>
  <c r="T41" i="90" s="1"/>
  <c r="T42" i="90"/>
  <c r="AE47" i="90"/>
  <c r="AE48" i="90"/>
  <c r="H9" i="90"/>
  <c r="H42" i="90"/>
  <c r="AG9" i="90"/>
  <c r="AG41" i="90" s="1"/>
  <c r="AG42" i="90"/>
  <c r="O47" i="90"/>
  <c r="O48" i="90"/>
  <c r="W9" i="90"/>
  <c r="W41" i="90" s="1"/>
  <c r="W42" i="90"/>
  <c r="G9" i="90"/>
  <c r="G42" i="90"/>
  <c r="H48" i="90"/>
  <c r="T47" i="90"/>
  <c r="T48" i="90"/>
  <c r="AE9" i="90"/>
  <c r="AE41" i="90" s="1"/>
  <c r="AE42" i="90"/>
  <c r="V9" i="90"/>
  <c r="V41" i="90" s="1"/>
  <c r="V42" i="90"/>
  <c r="AD45" i="90"/>
  <c r="AH44" i="90"/>
  <c r="I9" i="90"/>
  <c r="AD42" i="90"/>
  <c r="AF42" i="90"/>
  <c r="AI12" i="90" l="1"/>
  <c r="AI44" i="90" s="1"/>
  <c r="AF44" i="90"/>
  <c r="AD47" i="90"/>
  <c r="AD48" i="90"/>
  <c r="AI10" i="90"/>
  <c r="AD9" i="90"/>
  <c r="AD41" i="90" s="1"/>
  <c r="AN41" i="90" s="1"/>
  <c r="AF48" i="90"/>
  <c r="AI13" i="90" l="1"/>
  <c r="AF45" i="90"/>
  <c r="AI16" i="90"/>
  <c r="AF9" i="90"/>
  <c r="AH9" i="90" s="1"/>
  <c r="D19" i="90"/>
  <c r="AI9" i="90" l="1"/>
  <c r="AF41" i="90"/>
  <c r="AI15" i="90"/>
  <c r="AF47" i="90"/>
  <c r="G17" i="65" l="1"/>
  <c r="E45" i="24"/>
  <c r="L28" i="54"/>
  <c r="G11" i="49"/>
  <c r="E17" i="24" l="1"/>
  <c r="G29" i="90" l="1"/>
  <c r="E14" i="24"/>
  <c r="H10" i="91" l="1"/>
  <c r="F40" i="24"/>
  <c r="F39" i="24"/>
  <c r="F42" i="24"/>
  <c r="F12" i="54"/>
  <c r="F9" i="54" s="1"/>
  <c r="G25" i="90"/>
  <c r="G45" i="90"/>
  <c r="E39" i="24" l="1"/>
  <c r="D29" i="24"/>
  <c r="D39" i="24"/>
  <c r="D40" i="24"/>
  <c r="H8" i="91"/>
  <c r="D30" i="24"/>
  <c r="F32" i="90"/>
  <c r="E38" i="24"/>
  <c r="D14" i="24"/>
  <c r="D7" i="24"/>
  <c r="D28" i="24"/>
  <c r="D38" i="24"/>
  <c r="F26" i="90"/>
  <c r="D31" i="24"/>
  <c r="D42" i="24"/>
  <c r="F27" i="90"/>
  <c r="E11" i="54" s="1"/>
  <c r="F38" i="24"/>
  <c r="D19" i="24"/>
  <c r="D41" i="24"/>
  <c r="F29" i="90"/>
  <c r="E41" i="24"/>
  <c r="G18" i="24"/>
  <c r="V19" i="65" s="1"/>
  <c r="G35" i="90"/>
  <c r="G41" i="90"/>
  <c r="D13" i="24" l="1"/>
  <c r="G38" i="24"/>
  <c r="D32" i="24"/>
  <c r="H11" i="54"/>
  <c r="I27" i="90"/>
  <c r="F45" i="90"/>
  <c r="F12" i="24"/>
  <c r="F6" i="24" s="1"/>
  <c r="H34" i="90"/>
  <c r="H50" i="90" s="1"/>
  <c r="F24" i="24"/>
  <c r="F13" i="24" s="1"/>
  <c r="F45" i="24" s="1"/>
  <c r="H30" i="90"/>
  <c r="G13" i="54" s="1"/>
  <c r="F43" i="90"/>
  <c r="G42" i="24"/>
  <c r="D45" i="24" l="1"/>
  <c r="H31" i="90"/>
  <c r="H47" i="90" s="1"/>
  <c r="G16" i="54"/>
  <c r="G9" i="54"/>
  <c r="H13" i="54"/>
  <c r="I34" i="90"/>
  <c r="E12" i="54"/>
  <c r="I29" i="90"/>
  <c r="K29" i="90" s="1"/>
  <c r="H46" i="90"/>
  <c r="I30" i="90"/>
  <c r="H25" i="90"/>
  <c r="H41" i="90" s="1"/>
  <c r="I43" i="90"/>
  <c r="AL43" i="90" s="1"/>
  <c r="K34" i="90" l="1"/>
  <c r="AI29" i="90"/>
  <c r="AH29" i="90"/>
  <c r="AH45" i="90" s="1"/>
  <c r="H12" i="54"/>
  <c r="F19" i="28"/>
  <c r="F33" i="28"/>
  <c r="F17" i="28"/>
  <c r="F15" i="28"/>
  <c r="F16" i="28"/>
  <c r="F18" i="28"/>
  <c r="I50" i="90"/>
  <c r="AL50" i="90" s="1"/>
  <c r="G14" i="54"/>
  <c r="H16" i="54"/>
  <c r="I45" i="90"/>
  <c r="AL45" i="90" s="1"/>
  <c r="AI45" i="90"/>
  <c r="K45" i="90"/>
  <c r="I46" i="90"/>
  <c r="AL46" i="90" s="1"/>
  <c r="K30" i="90"/>
  <c r="H35" i="90"/>
  <c r="C19" i="24"/>
  <c r="F44" i="24" s="1"/>
  <c r="C14" i="24"/>
  <c r="C7" i="24"/>
  <c r="S21" i="65"/>
  <c r="AH30" i="90" l="1"/>
  <c r="AH46" i="90" s="1"/>
  <c r="AI30" i="90"/>
  <c r="AI46" i="90" s="1"/>
  <c r="AH34" i="90"/>
  <c r="AH50" i="90" s="1"/>
  <c r="AI34" i="90"/>
  <c r="AI50" i="90" s="1"/>
  <c r="K50" i="90"/>
  <c r="F34" i="28"/>
  <c r="K46" i="90"/>
  <c r="E44" i="24"/>
  <c r="C13" i="24"/>
  <c r="D44" i="24"/>
  <c r="C6" i="24"/>
  <c r="R21" i="65" l="1"/>
  <c r="D28" i="90" s="1"/>
  <c r="D44" i="90" s="1"/>
  <c r="I21" i="24" l="1"/>
  <c r="I16" i="24"/>
  <c r="I9" i="24"/>
  <c r="G10" i="60" l="1"/>
  <c r="G11" i="60"/>
  <c r="J16" i="24"/>
  <c r="I14" i="24"/>
  <c r="I19" i="24"/>
  <c r="J19" i="24" s="1"/>
  <c r="J21" i="24"/>
  <c r="I7" i="24"/>
  <c r="I6" i="24" s="1"/>
  <c r="J9" i="24"/>
  <c r="F18" i="65"/>
  <c r="F20" i="65"/>
  <c r="L20" i="65" s="1"/>
  <c r="D32" i="90" s="1"/>
  <c r="D31" i="90" s="1"/>
  <c r="F17" i="65"/>
  <c r="L17" i="65" s="1"/>
  <c r="F19" i="65"/>
  <c r="R63" i="51" l="1"/>
  <c r="J43" i="90"/>
  <c r="K27" i="90"/>
  <c r="J31" i="90"/>
  <c r="J47" i="90" s="1"/>
  <c r="J48" i="90"/>
  <c r="G9" i="60"/>
  <c r="G7" i="60"/>
  <c r="D13" i="60"/>
  <c r="D14" i="60" s="1"/>
  <c r="I13" i="24"/>
  <c r="J13" i="24" s="1"/>
  <c r="J14" i="24"/>
  <c r="L18" i="65"/>
  <c r="F21" i="65"/>
  <c r="G12" i="60"/>
  <c r="G8" i="60"/>
  <c r="AH66" i="34" l="1"/>
  <c r="AM66" i="34" s="1"/>
  <c r="R66" i="51"/>
  <c r="R57" i="51"/>
  <c r="R61" i="51"/>
  <c r="R65" i="51"/>
  <c r="R67" i="51"/>
  <c r="R62" i="51"/>
  <c r="R59" i="51"/>
  <c r="R56" i="51"/>
  <c r="R60" i="51"/>
  <c r="R58" i="51"/>
  <c r="R64" i="51"/>
  <c r="AH27" i="90"/>
  <c r="AH43" i="90" s="1"/>
  <c r="AI27" i="90"/>
  <c r="AI43" i="90" s="1"/>
  <c r="AH63" i="34"/>
  <c r="AM63" i="34" s="1"/>
  <c r="K43" i="90"/>
  <c r="I25" i="24"/>
  <c r="R9" i="51"/>
  <c r="AH62" i="34"/>
  <c r="AM62" i="34" s="1"/>
  <c r="R24" i="51"/>
  <c r="R27" i="51"/>
  <c r="R31" i="51"/>
  <c r="R21" i="51"/>
  <c r="R26" i="51"/>
  <c r="R23" i="51"/>
  <c r="R22" i="51"/>
  <c r="R20" i="51"/>
  <c r="R29" i="51"/>
  <c r="R25" i="51"/>
  <c r="R28" i="51"/>
  <c r="R30" i="51"/>
  <c r="R48" i="51"/>
  <c r="R50" i="51"/>
  <c r="R52" i="51"/>
  <c r="R44" i="51"/>
  <c r="R53" i="51"/>
  <c r="R46" i="51"/>
  <c r="R51" i="51"/>
  <c r="R54" i="51"/>
  <c r="R45" i="51"/>
  <c r="R55" i="51"/>
  <c r="R47" i="51"/>
  <c r="R49" i="51"/>
  <c r="AH65" i="34"/>
  <c r="AM65" i="34" s="1"/>
  <c r="L21" i="65"/>
  <c r="D26" i="90"/>
  <c r="D25" i="90" s="1"/>
  <c r="D48" i="90"/>
  <c r="D45" i="90"/>
  <c r="G13" i="60"/>
  <c r="G14" i="60" s="1"/>
  <c r="G17" i="24"/>
  <c r="R10" i="51" l="1"/>
  <c r="R15" i="51"/>
  <c r="R14" i="51"/>
  <c r="R19" i="51"/>
  <c r="AH75" i="34"/>
  <c r="AM75" i="34" s="1"/>
  <c r="R16" i="51"/>
  <c r="R18" i="51"/>
  <c r="R17" i="51"/>
  <c r="R8" i="51"/>
  <c r="R11" i="51"/>
  <c r="R12" i="51"/>
  <c r="AH64" i="34"/>
  <c r="AM64" i="34" s="1"/>
  <c r="R13" i="51"/>
  <c r="AH74" i="34"/>
  <c r="AM74" i="34" s="1"/>
  <c r="R159" i="51"/>
  <c r="R162" i="51"/>
  <c r="R155" i="51"/>
  <c r="R154" i="51"/>
  <c r="R157" i="51"/>
  <c r="R153" i="51"/>
  <c r="R161" i="51"/>
  <c r="R158" i="51"/>
  <c r="R160" i="51"/>
  <c r="R163" i="51"/>
  <c r="R152" i="51"/>
  <c r="R156" i="51"/>
  <c r="R115" i="51"/>
  <c r="R112" i="51"/>
  <c r="R113" i="51"/>
  <c r="R111" i="51"/>
  <c r="R105" i="51"/>
  <c r="R114" i="51"/>
  <c r="R110" i="51"/>
  <c r="R107" i="51"/>
  <c r="R109" i="51"/>
  <c r="R108" i="51"/>
  <c r="R106" i="51"/>
  <c r="R104" i="51"/>
  <c r="R139" i="51"/>
  <c r="R128" i="51"/>
  <c r="R138" i="51"/>
  <c r="R129" i="51"/>
  <c r="R134" i="51"/>
  <c r="R133" i="51"/>
  <c r="R137" i="51"/>
  <c r="R130" i="51"/>
  <c r="R136" i="51"/>
  <c r="R135" i="51"/>
  <c r="R132" i="51"/>
  <c r="R131" i="51"/>
  <c r="AH68" i="34"/>
  <c r="AM68" i="34" s="1"/>
  <c r="AH67" i="34"/>
  <c r="AM67" i="34" s="1"/>
  <c r="R39" i="51"/>
  <c r="R34" i="51"/>
  <c r="R38" i="51"/>
  <c r="R40" i="51"/>
  <c r="R36" i="51"/>
  <c r="R37" i="51"/>
  <c r="R43" i="51"/>
  <c r="R41" i="51"/>
  <c r="R42" i="51"/>
  <c r="R35" i="51"/>
  <c r="R32" i="51"/>
  <c r="R33" i="51"/>
  <c r="R142" i="51"/>
  <c r="R150" i="51"/>
  <c r="R149" i="51"/>
  <c r="R143" i="51"/>
  <c r="R146" i="51"/>
  <c r="R151" i="51"/>
  <c r="R145" i="51"/>
  <c r="R140" i="51"/>
  <c r="R141" i="51"/>
  <c r="R147" i="51"/>
  <c r="R148" i="51"/>
  <c r="R144" i="51"/>
  <c r="R84" i="51"/>
  <c r="R90" i="51"/>
  <c r="R88" i="51"/>
  <c r="R80" i="51"/>
  <c r="R89" i="51"/>
  <c r="R87" i="51"/>
  <c r="R83" i="51"/>
  <c r="R86" i="51"/>
  <c r="R81" i="51"/>
  <c r="R85" i="51"/>
  <c r="R91" i="51"/>
  <c r="R82" i="51"/>
  <c r="AH73" i="34"/>
  <c r="AM73" i="34" s="1"/>
  <c r="AH70" i="34"/>
  <c r="AM70" i="34" s="1"/>
  <c r="F14" i="30"/>
  <c r="AH72" i="34"/>
  <c r="AM72" i="34" s="1"/>
  <c r="D14" i="30"/>
  <c r="AH69" i="34"/>
  <c r="AM69" i="34" s="1"/>
  <c r="E14" i="30"/>
  <c r="AH71" i="34"/>
  <c r="AM71" i="34" s="1"/>
  <c r="C14" i="30"/>
  <c r="G14" i="30"/>
  <c r="AE11" i="34"/>
  <c r="AE10" i="34" s="1"/>
  <c r="D41" i="90"/>
  <c r="D35" i="90"/>
  <c r="D51" i="90" s="1"/>
  <c r="D42" i="90"/>
  <c r="D47" i="90"/>
  <c r="I11" i="24"/>
  <c r="J11" i="24" s="1"/>
  <c r="I18" i="24"/>
  <c r="J18" i="24" s="1"/>
  <c r="I23" i="24"/>
  <c r="J23" i="24" s="1"/>
  <c r="U17" i="65"/>
  <c r="E9" i="91"/>
  <c r="I9" i="91" s="1"/>
  <c r="F7" i="91"/>
  <c r="J7" i="91" s="1"/>
  <c r="I22" i="24"/>
  <c r="J22" i="24" s="1"/>
  <c r="I10" i="24"/>
  <c r="J10" i="24" s="1"/>
  <c r="AE7" i="34" l="1"/>
  <c r="AE8" i="34"/>
  <c r="AE9" i="34"/>
  <c r="U20" i="65"/>
  <c r="U19" i="65"/>
  <c r="U18" i="65"/>
  <c r="E8" i="91"/>
  <c r="E10" i="91"/>
  <c r="E28" i="1"/>
  <c r="O21" i="65"/>
  <c r="C6" i="34" l="1"/>
  <c r="AE12" i="34"/>
  <c r="U21" i="65"/>
  <c r="D27" i="90" s="1"/>
  <c r="D43" i="90" s="1"/>
  <c r="E11" i="91"/>
  <c r="E29" i="1" l="1"/>
  <c r="E27" i="1"/>
  <c r="I17" i="24" l="1"/>
  <c r="J17" i="24" l="1"/>
  <c r="L18" i="54"/>
  <c r="L19" i="54" s="1"/>
  <c r="L20" i="54" s="1"/>
  <c r="D6" i="64"/>
  <c r="I20" i="24" l="1"/>
  <c r="J20" i="24" s="1"/>
  <c r="I15" i="24"/>
  <c r="J15" i="24" s="1"/>
  <c r="I8" i="24"/>
  <c r="J8" i="24" s="1"/>
  <c r="F8" i="91"/>
  <c r="F10" i="91"/>
  <c r="Q22" i="28" l="1"/>
  <c r="L18" i="28"/>
  <c r="L29" i="28"/>
  <c r="L16" i="28"/>
  <c r="L23" i="28"/>
  <c r="L28" i="28"/>
  <c r="L19" i="28"/>
  <c r="L13" i="28"/>
  <c r="L12" i="28"/>
  <c r="L31" i="28"/>
  <c r="L30" i="28"/>
  <c r="L25" i="28"/>
  <c r="L21" i="28"/>
  <c r="L10" i="28"/>
  <c r="L22" i="28"/>
  <c r="L17" i="28"/>
  <c r="L27" i="28"/>
  <c r="L9" i="28"/>
  <c r="L15" i="28"/>
  <c r="L24" i="28"/>
  <c r="L11" i="28"/>
  <c r="O22" i="28"/>
  <c r="I18" i="65"/>
  <c r="C46" i="28" s="1"/>
  <c r="I19" i="65"/>
  <c r="I20" i="65"/>
  <c r="G10" i="91"/>
  <c r="G8" i="91"/>
  <c r="K23" i="28" l="1"/>
  <c r="K21" i="28"/>
  <c r="K30" i="28"/>
  <c r="K18" i="28"/>
  <c r="K25" i="28"/>
  <c r="K24" i="28"/>
  <c r="K11" i="28"/>
  <c r="K27" i="28"/>
  <c r="K10" i="28"/>
  <c r="K9" i="28"/>
  <c r="K19" i="28"/>
  <c r="K28" i="28"/>
  <c r="K16" i="28"/>
  <c r="K22" i="28"/>
  <c r="K17" i="28"/>
  <c r="K15" i="28"/>
  <c r="O23" i="28"/>
  <c r="Q23" i="28"/>
  <c r="K12" i="28"/>
  <c r="O25" i="28"/>
  <c r="Q25" i="28"/>
  <c r="Q10" i="28"/>
  <c r="O10" i="28"/>
  <c r="Q18" i="28"/>
  <c r="O18" i="28"/>
  <c r="O30" i="28"/>
  <c r="Q30" i="28"/>
  <c r="K31" i="28"/>
  <c r="O13" i="28"/>
  <c r="Q13" i="28"/>
  <c r="Q16" i="28"/>
  <c r="O16" i="28"/>
  <c r="O31" i="28"/>
  <c r="Q31" i="28"/>
  <c r="O11" i="28"/>
  <c r="Q11" i="28"/>
  <c r="Q29" i="28"/>
  <c r="O29" i="28"/>
  <c r="Q28" i="28"/>
  <c r="O28" i="28"/>
  <c r="O24" i="28"/>
  <c r="Q24" i="28"/>
  <c r="Q17" i="28"/>
  <c r="O17" i="28"/>
  <c r="Q12" i="28"/>
  <c r="O12" i="28"/>
  <c r="K13" i="28"/>
  <c r="Q19" i="28"/>
  <c r="O19" i="28"/>
  <c r="K29" i="28"/>
  <c r="H25" i="28"/>
  <c r="I25" i="28"/>
  <c r="H11" i="28"/>
  <c r="I11" i="28"/>
  <c r="H17" i="28"/>
  <c r="I17" i="28"/>
  <c r="H12" i="28"/>
  <c r="I12" i="28"/>
  <c r="H15" i="28"/>
  <c r="I15" i="28"/>
  <c r="H10" i="28"/>
  <c r="I10" i="28"/>
  <c r="H13" i="28"/>
  <c r="I13" i="28"/>
  <c r="H29" i="28"/>
  <c r="I29" i="28"/>
  <c r="H18" i="28"/>
  <c r="I18" i="28"/>
  <c r="H30" i="28"/>
  <c r="I30" i="28"/>
  <c r="H22" i="28"/>
  <c r="I22" i="28"/>
  <c r="H19" i="28"/>
  <c r="I19" i="28"/>
  <c r="H27" i="28"/>
  <c r="I27" i="28"/>
  <c r="H28" i="28"/>
  <c r="I28" i="28"/>
  <c r="I9" i="28"/>
  <c r="H9" i="28"/>
  <c r="H24" i="28"/>
  <c r="I24" i="28"/>
  <c r="H16" i="28"/>
  <c r="I16" i="28"/>
  <c r="H21" i="28"/>
  <c r="I21" i="28"/>
  <c r="H31" i="28"/>
  <c r="I31" i="28"/>
  <c r="H23" i="28"/>
  <c r="I23" i="28"/>
  <c r="P13" i="50"/>
  <c r="P21" i="50"/>
  <c r="P22" i="50"/>
  <c r="C47" i="28"/>
  <c r="D31" i="28"/>
  <c r="D28" i="28"/>
  <c r="D11" i="28"/>
  <c r="G36" i="28"/>
  <c r="G37" i="28"/>
  <c r="D24" i="28"/>
  <c r="D30" i="28"/>
  <c r="F35" i="28"/>
  <c r="D9" i="28"/>
  <c r="D18" i="28"/>
  <c r="D16" i="28"/>
  <c r="D25" i="28"/>
  <c r="D13" i="28"/>
  <c r="E34" i="28"/>
  <c r="D29" i="28"/>
  <c r="D10" i="28"/>
  <c r="E36" i="28"/>
  <c r="D27" i="28"/>
  <c r="E35" i="28"/>
  <c r="E33" i="28"/>
  <c r="D17" i="28"/>
  <c r="D19" i="28"/>
  <c r="D21" i="28"/>
  <c r="D15" i="28"/>
  <c r="D12" i="28"/>
  <c r="G34" i="28"/>
  <c r="G35" i="28"/>
  <c r="G33" i="28"/>
  <c r="D22" i="28"/>
  <c r="D23" i="28"/>
  <c r="E37" i="28"/>
  <c r="I21" i="65"/>
  <c r="V20" i="50" l="1"/>
  <c r="V19" i="50"/>
  <c r="V12" i="50"/>
  <c r="D34" i="28"/>
  <c r="D33" i="28"/>
  <c r="E40" i="1"/>
  <c r="F9" i="91"/>
  <c r="U46" i="51" l="1"/>
  <c r="U45" i="51"/>
  <c r="U54" i="51"/>
  <c r="U53" i="51"/>
  <c r="U49" i="51"/>
  <c r="U52" i="51"/>
  <c r="U50" i="51"/>
  <c r="U51" i="51"/>
  <c r="U48" i="51"/>
  <c r="U47" i="51"/>
  <c r="U55" i="51"/>
  <c r="U44" i="51"/>
  <c r="U128" i="51"/>
  <c r="U137" i="51"/>
  <c r="U138" i="51"/>
  <c r="U136" i="51"/>
  <c r="U133" i="51"/>
  <c r="U135" i="51"/>
  <c r="U139" i="51"/>
  <c r="U129" i="51"/>
  <c r="U130" i="51"/>
  <c r="U131" i="51"/>
  <c r="U132" i="51"/>
  <c r="U134" i="51"/>
  <c r="U159" i="51"/>
  <c r="U152" i="51"/>
  <c r="U158" i="51"/>
  <c r="U160" i="51"/>
  <c r="U153" i="51"/>
  <c r="U157" i="51"/>
  <c r="U161" i="51"/>
  <c r="U162" i="51"/>
  <c r="U163" i="51"/>
  <c r="U154" i="51"/>
  <c r="U155" i="51"/>
  <c r="U156" i="51"/>
  <c r="U63" i="51"/>
  <c r="U59" i="51"/>
  <c r="U60" i="51"/>
  <c r="U61" i="51"/>
  <c r="U64" i="51"/>
  <c r="U65" i="51"/>
  <c r="U58" i="51"/>
  <c r="U66" i="51"/>
  <c r="U67" i="51"/>
  <c r="U56" i="51"/>
  <c r="U57" i="51"/>
  <c r="U62" i="51"/>
  <c r="R22" i="50"/>
  <c r="R13" i="50"/>
  <c r="R21" i="50"/>
  <c r="F11" i="91"/>
  <c r="J9" i="91"/>
  <c r="E30" i="1"/>
  <c r="U147" i="51" l="1"/>
  <c r="U142" i="51"/>
  <c r="U143" i="51"/>
  <c r="U145" i="51"/>
  <c r="U148" i="51"/>
  <c r="U144" i="51"/>
  <c r="U149" i="51"/>
  <c r="U141" i="51"/>
  <c r="U146" i="51"/>
  <c r="U150" i="51"/>
  <c r="U151" i="51"/>
  <c r="U140" i="51"/>
  <c r="X157" i="51"/>
  <c r="Y157" i="51" s="1"/>
  <c r="X155" i="51"/>
  <c r="Y155" i="51" s="1"/>
  <c r="X159" i="51"/>
  <c r="Y159" i="51" s="1"/>
  <c r="X153" i="51"/>
  <c r="Y153" i="51" s="1"/>
  <c r="X156" i="51"/>
  <c r="Y156" i="51" s="1"/>
  <c r="X160" i="51"/>
  <c r="Y160" i="51" s="1"/>
  <c r="X152" i="51"/>
  <c r="X162" i="51"/>
  <c r="Y162" i="51" s="1"/>
  <c r="X161" i="51"/>
  <c r="Y161" i="51" s="1"/>
  <c r="X163" i="51"/>
  <c r="Y163" i="51" s="1"/>
  <c r="X158" i="51"/>
  <c r="Y158" i="51" s="1"/>
  <c r="X154" i="51"/>
  <c r="Y154" i="51" s="1"/>
  <c r="G11" i="91"/>
  <c r="D9" i="23"/>
  <c r="AA154" i="51" l="1"/>
  <c r="AA153" i="51"/>
  <c r="AA161" i="51"/>
  <c r="AA155" i="51"/>
  <c r="AA162" i="51"/>
  <c r="AA163" i="51"/>
  <c r="Y152" i="51"/>
  <c r="E8" i="1"/>
  <c r="AA152" i="51" l="1"/>
  <c r="D7" i="64"/>
  <c r="E9" i="1"/>
  <c r="E10" i="1"/>
  <c r="E11" i="1"/>
  <c r="E12" i="1"/>
  <c r="E20" i="1"/>
  <c r="E24" i="1" s="1"/>
  <c r="C13" i="45" l="1"/>
  <c r="C12" i="45"/>
  <c r="C11" i="45"/>
  <c r="Z13" i="52" l="1"/>
  <c r="Z14" i="52"/>
  <c r="Z15" i="52"/>
  <c r="Z16" i="52"/>
  <c r="Z17" i="52"/>
  <c r="Z18" i="52"/>
  <c r="Z19" i="52"/>
  <c r="Z20" i="52"/>
  <c r="Z21" i="52"/>
  <c r="Z22" i="52"/>
  <c r="Z23" i="52"/>
  <c r="Z24" i="52"/>
  <c r="Z25" i="52"/>
  <c r="Z26" i="52"/>
  <c r="Z27" i="52"/>
  <c r="Z28" i="52"/>
  <c r="Z29" i="52"/>
  <c r="Z30" i="52"/>
  <c r="Z31" i="52"/>
  <c r="Z32" i="52"/>
  <c r="Z33" i="52"/>
  <c r="Z34" i="52"/>
  <c r="Z35" i="52"/>
  <c r="Z36" i="52"/>
  <c r="Z37" i="52"/>
  <c r="Z38" i="52"/>
  <c r="Z39" i="52"/>
  <c r="Z40" i="52"/>
  <c r="Z41" i="52"/>
  <c r="Z42" i="52"/>
  <c r="Z43" i="52"/>
  <c r="Z44" i="52"/>
  <c r="Z45" i="52"/>
  <c r="Z46" i="52"/>
  <c r="Z47" i="52"/>
  <c r="Z48" i="52"/>
  <c r="Z49" i="52"/>
  <c r="Z50" i="52"/>
  <c r="Z51" i="52"/>
  <c r="Z52" i="52"/>
  <c r="Z53" i="52"/>
  <c r="Z54" i="52"/>
  <c r="Z55" i="52"/>
  <c r="Z56" i="52"/>
  <c r="Z57" i="52"/>
  <c r="Z58" i="52"/>
  <c r="Z59" i="52"/>
  <c r="Z60" i="52"/>
  <c r="Z61" i="52"/>
  <c r="Z62" i="52"/>
  <c r="Z63" i="52"/>
  <c r="Z64" i="52"/>
  <c r="Z65" i="52"/>
  <c r="Z66" i="52"/>
  <c r="Z67" i="52"/>
  <c r="Z68" i="52"/>
  <c r="Z69" i="52"/>
  <c r="Z70" i="52"/>
  <c r="Z71" i="52"/>
  <c r="Z72" i="52"/>
  <c r="Z73" i="52"/>
  <c r="Z74" i="52"/>
  <c r="Z75" i="52"/>
  <c r="Z76" i="52"/>
  <c r="Z77" i="52"/>
  <c r="Z78" i="52"/>
  <c r="Z79" i="52"/>
  <c r="Z80" i="52"/>
  <c r="Z81" i="52"/>
  <c r="Z82" i="52"/>
  <c r="Z83" i="52"/>
  <c r="Z84" i="52"/>
  <c r="Z85" i="52"/>
  <c r="Z86" i="52"/>
  <c r="Z87" i="52"/>
  <c r="Z88" i="52"/>
  <c r="Z89" i="52"/>
  <c r="Z90" i="52"/>
  <c r="Z91" i="52"/>
  <c r="Z92" i="52"/>
  <c r="Z93" i="52"/>
  <c r="Z94" i="52"/>
  <c r="Z95" i="52"/>
  <c r="Z96" i="52"/>
  <c r="Z97" i="52"/>
  <c r="Z98" i="52"/>
  <c r="Z99" i="52"/>
  <c r="Z100" i="52"/>
  <c r="Z101" i="52"/>
  <c r="Z102" i="52"/>
  <c r="Z103" i="52"/>
  <c r="Z104" i="52"/>
  <c r="Z105" i="52"/>
  <c r="Z106" i="52"/>
  <c r="Z107" i="52"/>
  <c r="Z108" i="52"/>
  <c r="Z109" i="52"/>
  <c r="Z110" i="52"/>
  <c r="Z111" i="52"/>
  <c r="Z112" i="52"/>
  <c r="Z113" i="52"/>
  <c r="Z114" i="52"/>
  <c r="Z115" i="52"/>
  <c r="Z116" i="52"/>
  <c r="Z117" i="52"/>
  <c r="Z118" i="52"/>
  <c r="Z119" i="52"/>
  <c r="Z120" i="52"/>
  <c r="Z121" i="52"/>
  <c r="Z122" i="52"/>
  <c r="Z123" i="52"/>
  <c r="Z124" i="52"/>
  <c r="Z125" i="52"/>
  <c r="Z126" i="52"/>
  <c r="Z127" i="52"/>
  <c r="Z128" i="52"/>
  <c r="Z129" i="52"/>
  <c r="Z130" i="52"/>
  <c r="Z131" i="52"/>
  <c r="Z132" i="52"/>
  <c r="Z133" i="52"/>
  <c r="Z134" i="52"/>
  <c r="Z135" i="52"/>
  <c r="Z136" i="52"/>
  <c r="Z137" i="52"/>
  <c r="Z138" i="52"/>
  <c r="Z139" i="52"/>
  <c r="Z140" i="52"/>
  <c r="Z141" i="52"/>
  <c r="Z142" i="52"/>
  <c r="Z143" i="52"/>
  <c r="Z144" i="52"/>
  <c r="Z145" i="52"/>
  <c r="Z146" i="52"/>
  <c r="Z147" i="52"/>
  <c r="Z148" i="52"/>
  <c r="Z149" i="52"/>
  <c r="Z150" i="52"/>
  <c r="Z151" i="52"/>
  <c r="Z152" i="52"/>
  <c r="Z153" i="52"/>
  <c r="Z154" i="52"/>
  <c r="Z155" i="52"/>
  <c r="Z156" i="52"/>
  <c r="Z157" i="52"/>
  <c r="Z158" i="52"/>
  <c r="Z159" i="52"/>
  <c r="Z160" i="52"/>
  <c r="Z161" i="52"/>
  <c r="Z162" i="52"/>
  <c r="Z163" i="52"/>
  <c r="Z164" i="52"/>
  <c r="Z165" i="52"/>
  <c r="Z166" i="52"/>
  <c r="Z167" i="52"/>
  <c r="Z168" i="52"/>
  <c r="Z169" i="52"/>
  <c r="Z170" i="52"/>
  <c r="Z171" i="52"/>
  <c r="Z172" i="52"/>
  <c r="Z173" i="52"/>
  <c r="Z174" i="52"/>
  <c r="Z175" i="52"/>
  <c r="Z176" i="52"/>
  <c r="Z177" i="52"/>
  <c r="Z178" i="52"/>
  <c r="Z179" i="52"/>
  <c r="Z180" i="52"/>
  <c r="Z181" i="52"/>
  <c r="Z182" i="52"/>
  <c r="Z183" i="52"/>
  <c r="Z184" i="52"/>
  <c r="Z185" i="52"/>
  <c r="Z186" i="52"/>
  <c r="Z187" i="52"/>
  <c r="Z188" i="52"/>
  <c r="Z189" i="52"/>
  <c r="Z190" i="52"/>
  <c r="Z191" i="52"/>
  <c r="Z192" i="52"/>
  <c r="Z193" i="52"/>
  <c r="Z194" i="52"/>
  <c r="Z195" i="52"/>
  <c r="Z196" i="52"/>
  <c r="Z197" i="52"/>
  <c r="Z198" i="52"/>
  <c r="Z199" i="52"/>
  <c r="Z200" i="52"/>
  <c r="Z201" i="52"/>
  <c r="Z202" i="52"/>
  <c r="Z203" i="52"/>
  <c r="Z204" i="52"/>
  <c r="Z205" i="52"/>
  <c r="Z206" i="52"/>
  <c r="Z207" i="52"/>
  <c r="Z208" i="52"/>
  <c r="Z209" i="52"/>
  <c r="Z210" i="52"/>
  <c r="Z211" i="52"/>
  <c r="Z212" i="52"/>
  <c r="Z213" i="52"/>
  <c r="Z214" i="52"/>
  <c r="Z215" i="52"/>
  <c r="Z216" i="52"/>
  <c r="Z217" i="52"/>
  <c r="Z218" i="52"/>
  <c r="Z219" i="52"/>
  <c r="Z220" i="52"/>
  <c r="Z221" i="52"/>
  <c r="Z222" i="52"/>
  <c r="Z223" i="52"/>
  <c r="Z224" i="52"/>
  <c r="Z225" i="52"/>
  <c r="Z226" i="52"/>
  <c r="Z227" i="52"/>
  <c r="Z228" i="52"/>
  <c r="Z229" i="52"/>
  <c r="Z230" i="52"/>
  <c r="Z231" i="52"/>
  <c r="Z232" i="52"/>
  <c r="Z233" i="52"/>
  <c r="Z234" i="52"/>
  <c r="Z235" i="52"/>
  <c r="Z236" i="52"/>
  <c r="Z237" i="52"/>
  <c r="Z238" i="52"/>
  <c r="Z239" i="52"/>
  <c r="Z240" i="52"/>
  <c r="Z241" i="52"/>
  <c r="Z242" i="52"/>
  <c r="Z243" i="52"/>
  <c r="Z244" i="52"/>
  <c r="Z245" i="52"/>
  <c r="Z246" i="52"/>
  <c r="Z247" i="52"/>
  <c r="Z248" i="52"/>
  <c r="Z249" i="52"/>
  <c r="Z250" i="52"/>
  <c r="Z251" i="52"/>
  <c r="Z252" i="52"/>
  <c r="Z253" i="52"/>
  <c r="Z254" i="52"/>
  <c r="Z255" i="52"/>
  <c r="Z256" i="52"/>
  <c r="Z257" i="52"/>
  <c r="Z258" i="52"/>
  <c r="Z259" i="52"/>
  <c r="Z260" i="52"/>
  <c r="Z261" i="52"/>
  <c r="Z262" i="52"/>
  <c r="Z263" i="52"/>
  <c r="Z264" i="52"/>
  <c r="Z265" i="52"/>
  <c r="Z266" i="52"/>
  <c r="Z267" i="52"/>
  <c r="Z268" i="52"/>
  <c r="Z269" i="52"/>
  <c r="Z270" i="52"/>
  <c r="Z271" i="52"/>
  <c r="Z272" i="52"/>
  <c r="Z273" i="52"/>
  <c r="Z274" i="52"/>
  <c r="Z275" i="52"/>
  <c r="Z276" i="52"/>
  <c r="Z277" i="52"/>
  <c r="Z278" i="52"/>
  <c r="Z279" i="52"/>
  <c r="Z280" i="52"/>
  <c r="Z281" i="52"/>
  <c r="Z282" i="52"/>
  <c r="Z283" i="52"/>
  <c r="Z284" i="52"/>
  <c r="Z285" i="52"/>
  <c r="Z286" i="52"/>
  <c r="Z287" i="52"/>
  <c r="Z288" i="52"/>
  <c r="Z289" i="52"/>
  <c r="Z290" i="52"/>
  <c r="Z291" i="52"/>
  <c r="Z292" i="52"/>
  <c r="Z293" i="52"/>
  <c r="Z294" i="52"/>
  <c r="Z295" i="52"/>
  <c r="Z296" i="52"/>
  <c r="Z297" i="52"/>
  <c r="Z298" i="52"/>
  <c r="Z299" i="52"/>
  <c r="Z300" i="52"/>
  <c r="Z301" i="52"/>
  <c r="Z302" i="52"/>
  <c r="Z303" i="52"/>
  <c r="Z304" i="52"/>
  <c r="Z305" i="52"/>
  <c r="Z306" i="52"/>
  <c r="Z307" i="52"/>
  <c r="Z308" i="52"/>
  <c r="Z309" i="52"/>
  <c r="Z310" i="52"/>
  <c r="Z311" i="52"/>
  <c r="Z312" i="52"/>
  <c r="Z313" i="52"/>
  <c r="Z314" i="52"/>
  <c r="Z315" i="52"/>
  <c r="Z316" i="52"/>
  <c r="Z317" i="52"/>
  <c r="Z318" i="52"/>
  <c r="Z319" i="52"/>
  <c r="Z320" i="52"/>
  <c r="Z321" i="52"/>
  <c r="Z322" i="52"/>
  <c r="Z323" i="52"/>
  <c r="Z324" i="52"/>
  <c r="Z325" i="52"/>
  <c r="Z326" i="52"/>
  <c r="Z327" i="52"/>
  <c r="Z328" i="52"/>
  <c r="Z329" i="52"/>
  <c r="Z330" i="52"/>
  <c r="Z331" i="52"/>
  <c r="Z332" i="52"/>
  <c r="Z333" i="52"/>
  <c r="Z334" i="52"/>
  <c r="Z335" i="52"/>
  <c r="Z336" i="52"/>
  <c r="Z12" i="52"/>
  <c r="D8" i="64"/>
  <c r="D9" i="64" s="1"/>
  <c r="D11" i="64" s="1"/>
  <c r="D118" i="1" l="1"/>
  <c r="D114" i="1"/>
  <c r="D12" i="64"/>
  <c r="D14" i="64"/>
  <c r="D115" i="1"/>
  <c r="D121" i="1"/>
  <c r="D123" i="1"/>
  <c r="D119" i="1"/>
  <c r="D120" i="1"/>
  <c r="D122" i="1"/>
  <c r="D116" i="1"/>
  <c r="D124" i="1"/>
  <c r="D117" i="1"/>
  <c r="D125" i="1"/>
  <c r="B18" i="30"/>
  <c r="I88" i="51" l="1"/>
  <c r="I112" i="51"/>
  <c r="I28" i="51"/>
  <c r="I160" i="51"/>
  <c r="I148" i="51"/>
  <c r="I86" i="51"/>
  <c r="I26" i="51"/>
  <c r="I158" i="51"/>
  <c r="I110" i="51"/>
  <c r="I146" i="51"/>
  <c r="I145" i="51"/>
  <c r="I109" i="51"/>
  <c r="I157" i="51"/>
  <c r="I25" i="51"/>
  <c r="I85" i="51"/>
  <c r="I113" i="51"/>
  <c r="I149" i="51"/>
  <c r="I161" i="51"/>
  <c r="I29" i="51"/>
  <c r="I89" i="51"/>
  <c r="I83" i="51"/>
  <c r="I155" i="51"/>
  <c r="I107" i="51"/>
  <c r="I143" i="51"/>
  <c r="I23" i="51"/>
  <c r="I27" i="51"/>
  <c r="I159" i="51"/>
  <c r="I111" i="51"/>
  <c r="I147" i="51"/>
  <c r="I87" i="51"/>
  <c r="I90" i="51"/>
  <c r="I162" i="51"/>
  <c r="I30" i="51"/>
  <c r="I114" i="51"/>
  <c r="I150" i="51"/>
  <c r="I141" i="51"/>
  <c r="I21" i="51"/>
  <c r="I81" i="51"/>
  <c r="I105" i="51"/>
  <c r="I153" i="51"/>
  <c r="I82" i="51"/>
  <c r="I106" i="51"/>
  <c r="I154" i="51"/>
  <c r="I142" i="51"/>
  <c r="I22" i="51"/>
  <c r="I91" i="51"/>
  <c r="I151" i="51"/>
  <c r="I163" i="51"/>
  <c r="I115" i="51"/>
  <c r="I31" i="51"/>
  <c r="I80" i="51"/>
  <c r="I20" i="51"/>
  <c r="I104" i="51"/>
  <c r="I152" i="51"/>
  <c r="I140" i="51"/>
  <c r="I60" i="51"/>
  <c r="I84" i="51"/>
  <c r="I108" i="51"/>
  <c r="I24" i="51"/>
  <c r="I156" i="51"/>
  <c r="I144" i="51"/>
  <c r="I132" i="51"/>
  <c r="I128" i="51"/>
  <c r="I56" i="51"/>
  <c r="I133" i="51"/>
  <c r="I61" i="51"/>
  <c r="I136" i="51"/>
  <c r="I64" i="51"/>
  <c r="I137" i="51"/>
  <c r="I65" i="51"/>
  <c r="I130" i="51"/>
  <c r="I58" i="51"/>
  <c r="I63" i="51"/>
  <c r="I135" i="51"/>
  <c r="I57" i="51"/>
  <c r="I129" i="51"/>
  <c r="I139" i="51"/>
  <c r="I67" i="51"/>
  <c r="I131" i="51"/>
  <c r="I59" i="51"/>
  <c r="I134" i="51"/>
  <c r="I62" i="51"/>
  <c r="I66" i="51"/>
  <c r="I138" i="51"/>
  <c r="AC68" i="51"/>
  <c r="AC69" i="51"/>
  <c r="R69" i="51" s="1"/>
  <c r="AC70" i="51"/>
  <c r="R70" i="51" s="1"/>
  <c r="AC71" i="51"/>
  <c r="R71" i="51" s="1"/>
  <c r="AC72" i="51"/>
  <c r="R72" i="51" s="1"/>
  <c r="AC73" i="51"/>
  <c r="R73" i="51" s="1"/>
  <c r="AC74" i="51"/>
  <c r="R74" i="51" s="1"/>
  <c r="AC75" i="51"/>
  <c r="R75" i="51" s="1"/>
  <c r="AC76" i="51"/>
  <c r="R76" i="51" s="1"/>
  <c r="AC77" i="51"/>
  <c r="R77" i="51" s="1"/>
  <c r="AC78" i="51"/>
  <c r="R78" i="51" s="1"/>
  <c r="AC79" i="51"/>
  <c r="R79" i="51" s="1"/>
  <c r="AC116" i="51"/>
  <c r="R116" i="51" s="1"/>
  <c r="AC117" i="51"/>
  <c r="R117" i="51" s="1"/>
  <c r="AC118" i="51"/>
  <c r="R118" i="51" s="1"/>
  <c r="AC119" i="51"/>
  <c r="R119" i="51" s="1"/>
  <c r="AC120" i="51"/>
  <c r="R120" i="51" s="1"/>
  <c r="AC121" i="51"/>
  <c r="R121" i="51" s="1"/>
  <c r="AC122" i="51"/>
  <c r="R122" i="51" s="1"/>
  <c r="AC123" i="51"/>
  <c r="R123" i="51" s="1"/>
  <c r="AC124" i="51"/>
  <c r="R124" i="51" s="1"/>
  <c r="AC125" i="51"/>
  <c r="R125" i="51" s="1"/>
  <c r="AC126" i="51"/>
  <c r="R126" i="51" s="1"/>
  <c r="AC127" i="51"/>
  <c r="R127" i="51" s="1"/>
  <c r="AC92" i="51"/>
  <c r="R92" i="51" s="1"/>
  <c r="AC93" i="51"/>
  <c r="R93" i="51" s="1"/>
  <c r="AC94" i="51"/>
  <c r="R94" i="51" s="1"/>
  <c r="AC95" i="51"/>
  <c r="R95" i="51" s="1"/>
  <c r="AC96" i="51"/>
  <c r="R96" i="51" s="1"/>
  <c r="AC97" i="51"/>
  <c r="R97" i="51" s="1"/>
  <c r="AC98" i="51"/>
  <c r="R98" i="51" s="1"/>
  <c r="AC99" i="51"/>
  <c r="R99" i="51" s="1"/>
  <c r="AC100" i="51"/>
  <c r="R100" i="51" s="1"/>
  <c r="AC101" i="51"/>
  <c r="R101" i="51" s="1"/>
  <c r="AC102" i="51"/>
  <c r="R102" i="51" s="1"/>
  <c r="AC103" i="51"/>
  <c r="R103" i="51" s="1"/>
  <c r="AC164" i="51"/>
  <c r="U164" i="51" s="1"/>
  <c r="AC165" i="51"/>
  <c r="U165" i="51" s="1"/>
  <c r="AC166" i="51"/>
  <c r="U166" i="51" s="1"/>
  <c r="AC167" i="51"/>
  <c r="U167" i="51" s="1"/>
  <c r="AC168" i="51"/>
  <c r="U168" i="51" s="1"/>
  <c r="AC169" i="51"/>
  <c r="U169" i="51" s="1"/>
  <c r="AC170" i="51"/>
  <c r="U170" i="51" s="1"/>
  <c r="AC171" i="51"/>
  <c r="U171" i="51" s="1"/>
  <c r="AC172" i="51"/>
  <c r="U172" i="51" s="1"/>
  <c r="AC173" i="51"/>
  <c r="U173" i="51" s="1"/>
  <c r="AC174" i="51"/>
  <c r="U174" i="51" s="1"/>
  <c r="AC175" i="51"/>
  <c r="U175" i="51" s="1"/>
  <c r="Z19" i="28"/>
  <c r="Z18" i="28"/>
  <c r="Z17" i="28"/>
  <c r="Z16" i="28"/>
  <c r="Z15" i="28"/>
  <c r="Z13" i="28"/>
  <c r="Z12" i="28"/>
  <c r="Z11" i="28"/>
  <c r="Z10" i="28"/>
  <c r="Z9" i="28"/>
  <c r="AA158" i="51" l="1"/>
  <c r="AB158" i="51"/>
  <c r="Z158" i="51"/>
  <c r="AA156" i="51"/>
  <c r="AB156" i="51"/>
  <c r="Z156" i="51"/>
  <c r="AA160" i="51"/>
  <c r="Z160" i="51"/>
  <c r="AB160" i="51"/>
  <c r="AA159" i="51"/>
  <c r="AB159" i="51"/>
  <c r="Z159" i="51"/>
  <c r="AA157" i="51"/>
  <c r="Z157" i="51"/>
  <c r="AB157" i="51"/>
  <c r="V10" i="50"/>
  <c r="P10" i="50" s="1"/>
  <c r="R10" i="50" s="1"/>
  <c r="V11" i="50"/>
  <c r="P11" i="50" s="1"/>
  <c r="R11" i="50" s="1"/>
  <c r="V14" i="50"/>
  <c r="P14" i="50" s="1"/>
  <c r="R14" i="50" s="1"/>
  <c r="V18" i="50"/>
  <c r="P18" i="50" s="1"/>
  <c r="R18" i="50" s="1"/>
  <c r="V15" i="50"/>
  <c r="V17" i="50"/>
  <c r="V16" i="50"/>
  <c r="P12" i="50"/>
  <c r="R12" i="50" s="1"/>
  <c r="P19" i="50"/>
  <c r="R19" i="50" s="1"/>
  <c r="P20" i="50"/>
  <c r="R20" i="50" s="1"/>
  <c r="V178" i="51"/>
  <c r="V189" i="51"/>
  <c r="V177" i="51"/>
  <c r="V190" i="51"/>
  <c r="V181" i="51"/>
  <c r="V183" i="51"/>
  <c r="W185" i="51"/>
  <c r="W17" i="50" s="1"/>
  <c r="V184" i="51"/>
  <c r="V182" i="51"/>
  <c r="V180" i="51"/>
  <c r="V188" i="51"/>
  <c r="V186" i="51"/>
  <c r="AB178" i="51"/>
  <c r="W183" i="51"/>
  <c r="W15" i="50" s="1"/>
  <c r="V185" i="51"/>
  <c r="W187" i="51"/>
  <c r="W19" i="50" s="1"/>
  <c r="X19" i="50" s="1"/>
  <c r="W188" i="51"/>
  <c r="W20" i="50" s="1"/>
  <c r="X20" i="50" s="1"/>
  <c r="V179" i="51"/>
  <c r="V187" i="51"/>
  <c r="W189" i="51"/>
  <c r="W21" i="50" s="1"/>
  <c r="X21" i="50" s="1"/>
  <c r="W178" i="51"/>
  <c r="W10" i="50" s="1"/>
  <c r="W181" i="51"/>
  <c r="W13" i="50" s="1"/>
  <c r="X13" i="50" s="1"/>
  <c r="AB181" i="51"/>
  <c r="AB179" i="51"/>
  <c r="AB180" i="51"/>
  <c r="AB177" i="51"/>
  <c r="R68" i="51"/>
  <c r="X189" i="51"/>
  <c r="Y189" i="51"/>
  <c r="R174" i="51"/>
  <c r="R170" i="51"/>
  <c r="R169" i="51"/>
  <c r="R168" i="51"/>
  <c r="R171" i="51"/>
  <c r="R167" i="51"/>
  <c r="R175" i="51"/>
  <c r="R173" i="51"/>
  <c r="R172" i="51"/>
  <c r="R166" i="51"/>
  <c r="R164" i="51"/>
  <c r="R165" i="51"/>
  <c r="J22" i="50"/>
  <c r="K22" i="50" s="1"/>
  <c r="J19" i="50"/>
  <c r="K19" i="50" s="1"/>
  <c r="J12" i="50"/>
  <c r="J21" i="50"/>
  <c r="K21" i="50" s="1"/>
  <c r="J20" i="50"/>
  <c r="K20" i="50" s="1"/>
  <c r="J13" i="50"/>
  <c r="K13" i="50" s="1"/>
  <c r="N70" i="51"/>
  <c r="G70" i="51"/>
  <c r="N93" i="51"/>
  <c r="G93" i="51"/>
  <c r="N102" i="51"/>
  <c r="G102" i="51"/>
  <c r="N78" i="51"/>
  <c r="G78" i="51"/>
  <c r="N166" i="51"/>
  <c r="G166" i="51"/>
  <c r="N69" i="51"/>
  <c r="G69" i="51"/>
  <c r="N116" i="51"/>
  <c r="G116" i="51"/>
  <c r="N127" i="51"/>
  <c r="G127" i="51"/>
  <c r="N174" i="51"/>
  <c r="G174" i="51"/>
  <c r="N77" i="51"/>
  <c r="G77" i="51"/>
  <c r="N99" i="51"/>
  <c r="G99" i="51"/>
  <c r="N122" i="51"/>
  <c r="G122" i="51"/>
  <c r="N94" i="51"/>
  <c r="G94" i="51"/>
  <c r="N165" i="51"/>
  <c r="G165" i="51"/>
  <c r="N173" i="51"/>
  <c r="G173" i="51"/>
  <c r="N172" i="51"/>
  <c r="G172" i="51"/>
  <c r="N124" i="51"/>
  <c r="G124" i="51"/>
  <c r="N76" i="51"/>
  <c r="G76" i="51"/>
  <c r="N171" i="51"/>
  <c r="G171" i="51"/>
  <c r="N170" i="51"/>
  <c r="G170" i="51"/>
  <c r="N169" i="51"/>
  <c r="G169" i="51"/>
  <c r="N97" i="51"/>
  <c r="G97" i="51"/>
  <c r="N121" i="51"/>
  <c r="G121" i="51"/>
  <c r="N73" i="51"/>
  <c r="G73" i="51"/>
  <c r="N164" i="51"/>
  <c r="G164" i="51"/>
  <c r="N68" i="51"/>
  <c r="G68" i="51"/>
  <c r="N103" i="51"/>
  <c r="G103" i="51"/>
  <c r="N100" i="51"/>
  <c r="G100" i="51"/>
  <c r="N75" i="51"/>
  <c r="G75" i="51"/>
  <c r="N168" i="51"/>
  <c r="G168" i="51"/>
  <c r="N96" i="51"/>
  <c r="G96" i="51"/>
  <c r="N120" i="51"/>
  <c r="G120" i="51"/>
  <c r="N72" i="51"/>
  <c r="G72" i="51"/>
  <c r="N118" i="51"/>
  <c r="G118" i="51"/>
  <c r="N117" i="51"/>
  <c r="G117" i="51"/>
  <c r="N92" i="51"/>
  <c r="G92" i="51"/>
  <c r="N175" i="51"/>
  <c r="G175" i="51"/>
  <c r="N79" i="51"/>
  <c r="G79" i="51"/>
  <c r="N126" i="51"/>
  <c r="G126" i="51"/>
  <c r="N101" i="51"/>
  <c r="G101" i="51"/>
  <c r="N125" i="51"/>
  <c r="G125" i="51"/>
  <c r="N123" i="51"/>
  <c r="G123" i="51"/>
  <c r="N98" i="51"/>
  <c r="G98" i="51"/>
  <c r="N74" i="51"/>
  <c r="G74" i="51"/>
  <c r="N167" i="51"/>
  <c r="G167" i="51"/>
  <c r="N95" i="51"/>
  <c r="G95" i="51"/>
  <c r="N119" i="51"/>
  <c r="G119" i="51"/>
  <c r="N71" i="51"/>
  <c r="G71" i="51"/>
  <c r="AA189" i="51" l="1"/>
  <c r="U103" i="51"/>
  <c r="U95" i="51"/>
  <c r="U92" i="51"/>
  <c r="U99" i="51"/>
  <c r="U93" i="51"/>
  <c r="U97" i="51"/>
  <c r="U101" i="51"/>
  <c r="U94" i="51"/>
  <c r="U102" i="51"/>
  <c r="U96" i="51"/>
  <c r="U98" i="51"/>
  <c r="U100" i="51"/>
  <c r="P16" i="50"/>
  <c r="R16" i="50" s="1"/>
  <c r="X17" i="50"/>
  <c r="U110" i="51"/>
  <c r="U108" i="51"/>
  <c r="U109" i="51"/>
  <c r="U112" i="51"/>
  <c r="U111" i="51"/>
  <c r="U113" i="51"/>
  <c r="U114" i="51"/>
  <c r="U115" i="51"/>
  <c r="U104" i="51"/>
  <c r="U106" i="51"/>
  <c r="U105" i="51"/>
  <c r="U107" i="51"/>
  <c r="X15" i="50"/>
  <c r="U85" i="51"/>
  <c r="U84" i="51"/>
  <c r="U88" i="51"/>
  <c r="U86" i="51"/>
  <c r="U89" i="51"/>
  <c r="U90" i="51"/>
  <c r="U87" i="51"/>
  <c r="U91" i="51"/>
  <c r="U81" i="51"/>
  <c r="U80" i="51"/>
  <c r="U82" i="51"/>
  <c r="U83" i="51"/>
  <c r="U124" i="51"/>
  <c r="U121" i="51"/>
  <c r="U119" i="51"/>
  <c r="U122" i="51"/>
  <c r="U125" i="51"/>
  <c r="U126" i="51"/>
  <c r="U127" i="51"/>
  <c r="U116" i="51"/>
  <c r="U123" i="51"/>
  <c r="U117" i="51"/>
  <c r="U120" i="51"/>
  <c r="U118" i="51"/>
  <c r="U72" i="51"/>
  <c r="U75" i="51"/>
  <c r="U78" i="51"/>
  <c r="U74" i="51"/>
  <c r="U79" i="51"/>
  <c r="U76" i="51"/>
  <c r="U68" i="51"/>
  <c r="U69" i="51"/>
  <c r="U73" i="51"/>
  <c r="U77" i="51"/>
  <c r="U70" i="51"/>
  <c r="U71" i="51"/>
  <c r="P15" i="50"/>
  <c r="R15" i="50" s="1"/>
  <c r="U41" i="51"/>
  <c r="U37" i="51"/>
  <c r="U39" i="51"/>
  <c r="U38" i="51"/>
  <c r="U34" i="51"/>
  <c r="U42" i="51"/>
  <c r="U40" i="51"/>
  <c r="U43" i="51"/>
  <c r="U32" i="51"/>
  <c r="U33" i="51"/>
  <c r="U35" i="51"/>
  <c r="U36" i="51"/>
  <c r="P17" i="50"/>
  <c r="R17" i="50" s="1"/>
  <c r="U20" i="51"/>
  <c r="U25" i="51"/>
  <c r="U24" i="51"/>
  <c r="U21" i="51"/>
  <c r="U27" i="51"/>
  <c r="X10" i="50"/>
  <c r="U22" i="51"/>
  <c r="U26" i="51"/>
  <c r="U31" i="51"/>
  <c r="U23" i="51"/>
  <c r="U30" i="51"/>
  <c r="U29" i="51"/>
  <c r="U28" i="51"/>
  <c r="Y21" i="50"/>
  <c r="AG189" i="51"/>
  <c r="K12" i="50"/>
  <c r="I175" i="51"/>
  <c r="I174" i="51"/>
  <c r="I173" i="51"/>
  <c r="I172" i="51"/>
  <c r="I171" i="51"/>
  <c r="I170" i="51"/>
  <c r="I169" i="51"/>
  <c r="I168" i="51"/>
  <c r="I167" i="51"/>
  <c r="I166" i="51"/>
  <c r="I165" i="51"/>
  <c r="I164" i="51"/>
  <c r="I103" i="51"/>
  <c r="I102" i="51"/>
  <c r="I101" i="51"/>
  <c r="I100" i="51"/>
  <c r="I99" i="51"/>
  <c r="I98" i="51"/>
  <c r="I97" i="51"/>
  <c r="I96" i="51"/>
  <c r="I95" i="51"/>
  <c r="I94" i="51"/>
  <c r="I93" i="51"/>
  <c r="I92" i="51"/>
  <c r="I127" i="51"/>
  <c r="I126" i="51"/>
  <c r="I125" i="51"/>
  <c r="I124" i="51"/>
  <c r="I123" i="51"/>
  <c r="I122" i="51"/>
  <c r="I121" i="51"/>
  <c r="I120" i="51"/>
  <c r="I119" i="51"/>
  <c r="I118" i="51"/>
  <c r="I117" i="51"/>
  <c r="I116" i="51"/>
  <c r="I79" i="51"/>
  <c r="I78" i="51"/>
  <c r="I77" i="51"/>
  <c r="I76" i="51"/>
  <c r="I75" i="51"/>
  <c r="I74" i="51"/>
  <c r="I73" i="51"/>
  <c r="I72" i="51"/>
  <c r="I71" i="51"/>
  <c r="I70" i="51"/>
  <c r="I69" i="51"/>
  <c r="I68" i="51"/>
  <c r="I55" i="51"/>
  <c r="I54" i="51"/>
  <c r="I53" i="51"/>
  <c r="I52" i="51"/>
  <c r="I51" i="51"/>
  <c r="I50" i="51"/>
  <c r="I49" i="51"/>
  <c r="I48" i="51"/>
  <c r="I47" i="51"/>
  <c r="I46" i="51"/>
  <c r="I45" i="51"/>
  <c r="I44" i="51"/>
  <c r="I43" i="51"/>
  <c r="I42" i="51"/>
  <c r="I41" i="51"/>
  <c r="I40" i="51"/>
  <c r="I39" i="51"/>
  <c r="I38" i="51"/>
  <c r="I37" i="51"/>
  <c r="I36" i="51"/>
  <c r="I35" i="51"/>
  <c r="I34" i="51"/>
  <c r="I33" i="51"/>
  <c r="I32" i="51"/>
  <c r="I19" i="51"/>
  <c r="I18" i="51"/>
  <c r="I17" i="51"/>
  <c r="I16" i="51"/>
  <c r="I15" i="51"/>
  <c r="I14" i="51"/>
  <c r="I13" i="51"/>
  <c r="I12" i="51"/>
  <c r="I11" i="51"/>
  <c r="I10" i="51"/>
  <c r="I9" i="51"/>
  <c r="I8" i="51"/>
  <c r="X151" i="51" l="1"/>
  <c r="Y151" i="51" s="1"/>
  <c r="X90" i="51"/>
  <c r="Y90" i="51" s="1"/>
  <c r="X150" i="51"/>
  <c r="Y150" i="51" s="1"/>
  <c r="X109" i="51"/>
  <c r="Y109" i="51" s="1"/>
  <c r="X107" i="51"/>
  <c r="Y107" i="51" s="1"/>
  <c r="X144" i="51"/>
  <c r="Y144" i="51" s="1"/>
  <c r="X112" i="51"/>
  <c r="Y112" i="51" s="1"/>
  <c r="X26" i="51"/>
  <c r="Y26" i="51" s="1"/>
  <c r="X81" i="51"/>
  <c r="Y81" i="51" s="1"/>
  <c r="X141" i="51"/>
  <c r="Y141" i="51" s="1"/>
  <c r="X108" i="51"/>
  <c r="Y108" i="51" s="1"/>
  <c r="X20" i="51"/>
  <c r="X145" i="51"/>
  <c r="Y145" i="51" s="1"/>
  <c r="X87" i="51"/>
  <c r="Y87" i="51" s="1"/>
  <c r="X31" i="51"/>
  <c r="Y31" i="51" s="1"/>
  <c r="X80" i="51"/>
  <c r="X146" i="51"/>
  <c r="Y146" i="51" s="1"/>
  <c r="X86" i="51"/>
  <c r="Y86" i="51" s="1"/>
  <c r="X25" i="51"/>
  <c r="Y25" i="51" s="1"/>
  <c r="X115" i="51"/>
  <c r="Y115" i="51" s="1"/>
  <c r="X110" i="51"/>
  <c r="Y110" i="51" s="1"/>
  <c r="X29" i="51"/>
  <c r="Y29" i="51" s="1"/>
  <c r="X84" i="51"/>
  <c r="Y84" i="51" s="1"/>
  <c r="X28" i="51"/>
  <c r="Y28" i="51" s="1"/>
  <c r="X23" i="51"/>
  <c r="Y23" i="51" s="1"/>
  <c r="X106" i="51"/>
  <c r="Y106" i="51" s="1"/>
  <c r="X83" i="51"/>
  <c r="Y83" i="51" s="1"/>
  <c r="X142" i="51"/>
  <c r="Y142" i="51" s="1"/>
  <c r="X111" i="51"/>
  <c r="Y111" i="51" s="1"/>
  <c r="X24" i="51"/>
  <c r="Y24" i="51" s="1"/>
  <c r="X104" i="51"/>
  <c r="X91" i="51"/>
  <c r="Y91" i="51" s="1"/>
  <c r="X114" i="51"/>
  <c r="Y114" i="51" s="1"/>
  <c r="X82" i="51"/>
  <c r="Y82" i="51" s="1"/>
  <c r="X21" i="51"/>
  <c r="Y21" i="51" s="1"/>
  <c r="X89" i="51"/>
  <c r="Y89" i="51" s="1"/>
  <c r="X105" i="51"/>
  <c r="Y105" i="51" s="1"/>
  <c r="X147" i="51"/>
  <c r="Y147" i="51" s="1"/>
  <c r="X88" i="51"/>
  <c r="Y88" i="51" s="1"/>
  <c r="X143" i="51"/>
  <c r="Y143" i="51" s="1"/>
  <c r="X149" i="51"/>
  <c r="Y149" i="51" s="1"/>
  <c r="X22" i="51"/>
  <c r="Y22" i="51" s="1"/>
  <c r="X148" i="51"/>
  <c r="Y148" i="51" s="1"/>
  <c r="X27" i="51"/>
  <c r="Y27" i="51" s="1"/>
  <c r="X140" i="51"/>
  <c r="X113" i="51"/>
  <c r="Y113" i="51" s="1"/>
  <c r="X30" i="51"/>
  <c r="Y30" i="51" s="1"/>
  <c r="X85" i="51"/>
  <c r="Y85" i="51" s="1"/>
  <c r="W9" i="51"/>
  <c r="W10" i="51"/>
  <c r="W11" i="51"/>
  <c r="W12" i="51"/>
  <c r="W17" i="51"/>
  <c r="W18" i="51"/>
  <c r="W19" i="51"/>
  <c r="W32" i="51"/>
  <c r="W33" i="51"/>
  <c r="W34" i="51"/>
  <c r="W35" i="51"/>
  <c r="W36" i="51"/>
  <c r="W41" i="51"/>
  <c r="W42" i="51"/>
  <c r="W43" i="51"/>
  <c r="W44" i="51"/>
  <c r="W45" i="51"/>
  <c r="W46" i="51"/>
  <c r="W47" i="51"/>
  <c r="W48" i="51"/>
  <c r="W53" i="51"/>
  <c r="W54" i="51"/>
  <c r="W55" i="51"/>
  <c r="W68" i="51"/>
  <c r="W69" i="51"/>
  <c r="W70" i="51"/>
  <c r="W71" i="51"/>
  <c r="W72" i="51"/>
  <c r="W77" i="51"/>
  <c r="W78" i="51"/>
  <c r="W79" i="51"/>
  <c r="W116" i="51"/>
  <c r="W117" i="51"/>
  <c r="W118" i="51"/>
  <c r="W119" i="51"/>
  <c r="W120" i="51"/>
  <c r="W125" i="51"/>
  <c r="W126" i="51"/>
  <c r="W127" i="51"/>
  <c r="W92" i="51"/>
  <c r="W93" i="51"/>
  <c r="W94" i="51"/>
  <c r="W95" i="51"/>
  <c r="W96" i="51"/>
  <c r="W101" i="51"/>
  <c r="W102" i="51"/>
  <c r="W103" i="51"/>
  <c r="W164" i="51"/>
  <c r="W165" i="51"/>
  <c r="W166" i="51"/>
  <c r="W167" i="51"/>
  <c r="W168" i="51"/>
  <c r="W173" i="51"/>
  <c r="W174" i="51"/>
  <c r="W175" i="51"/>
  <c r="AA24" i="51" l="1"/>
  <c r="X178" i="51"/>
  <c r="Y20" i="51"/>
  <c r="Z82" i="51"/>
  <c r="AB82" i="51"/>
  <c r="AA82" i="51"/>
  <c r="AA22" i="51"/>
  <c r="AB86" i="51"/>
  <c r="AA86" i="51"/>
  <c r="Z86" i="51"/>
  <c r="AA28" i="51"/>
  <c r="AB146" i="51"/>
  <c r="Z146" i="51"/>
  <c r="AA146" i="51"/>
  <c r="AA30" i="51"/>
  <c r="Z113" i="51"/>
  <c r="AA113" i="51"/>
  <c r="AB113" i="51"/>
  <c r="Z83" i="51"/>
  <c r="AA83" i="51"/>
  <c r="AB83" i="51"/>
  <c r="AA31" i="51"/>
  <c r="AA147" i="51"/>
  <c r="AA87" i="51"/>
  <c r="Z87" i="51"/>
  <c r="AB87" i="51"/>
  <c r="AA21" i="51"/>
  <c r="AB108" i="51"/>
  <c r="AA108" i="51"/>
  <c r="Z108" i="51"/>
  <c r="AA141" i="51"/>
  <c r="AA29" i="51"/>
  <c r="AA88" i="51"/>
  <c r="Z88" i="51"/>
  <c r="AB88" i="51"/>
  <c r="AA114" i="51"/>
  <c r="AA150" i="51"/>
  <c r="AA112" i="51"/>
  <c r="AB112" i="51"/>
  <c r="Z112" i="51"/>
  <c r="AA151" i="51"/>
  <c r="Z85" i="51"/>
  <c r="AA85" i="51"/>
  <c r="AB85" i="51"/>
  <c r="AA89" i="51"/>
  <c r="Z89" i="51"/>
  <c r="AB89" i="51"/>
  <c r="AB144" i="51"/>
  <c r="Z144" i="51"/>
  <c r="AA144" i="51"/>
  <c r="AA149" i="51"/>
  <c r="AB111" i="51"/>
  <c r="Z111" i="51"/>
  <c r="AA111" i="51"/>
  <c r="AB84" i="51"/>
  <c r="AA84" i="51"/>
  <c r="Z84" i="51"/>
  <c r="Z107" i="51"/>
  <c r="AB107" i="51"/>
  <c r="AA107" i="51"/>
  <c r="AA142" i="51"/>
  <c r="AA109" i="51"/>
  <c r="Z109" i="51"/>
  <c r="AB109" i="51"/>
  <c r="AA143" i="51"/>
  <c r="X183" i="51"/>
  <c r="Y80" i="51"/>
  <c r="X188" i="51"/>
  <c r="Y140" i="51"/>
  <c r="AA110" i="51"/>
  <c r="Z110" i="51"/>
  <c r="AB110" i="51"/>
  <c r="AA81" i="51"/>
  <c r="AA91" i="51"/>
  <c r="AA115" i="51"/>
  <c r="AA26" i="51"/>
  <c r="AA90" i="51"/>
  <c r="AA27" i="51"/>
  <c r="Z106" i="51"/>
  <c r="AB106" i="51"/>
  <c r="AA106" i="51"/>
  <c r="AA23" i="51"/>
  <c r="AA148" i="51"/>
  <c r="AA105" i="51"/>
  <c r="X185" i="51"/>
  <c r="Y104" i="51"/>
  <c r="AA25" i="51"/>
  <c r="AB145" i="51"/>
  <c r="AA145" i="51"/>
  <c r="Z145" i="51"/>
  <c r="O9" i="51"/>
  <c r="O10" i="51"/>
  <c r="O11" i="51"/>
  <c r="O12" i="51"/>
  <c r="O13" i="51"/>
  <c r="O14" i="51"/>
  <c r="O15" i="51"/>
  <c r="O16" i="51"/>
  <c r="O17" i="51"/>
  <c r="O18" i="51"/>
  <c r="O19" i="51"/>
  <c r="O32" i="51"/>
  <c r="P32" i="51" s="1"/>
  <c r="O33" i="51"/>
  <c r="P33" i="51" s="1"/>
  <c r="O34" i="51"/>
  <c r="P34" i="51" s="1"/>
  <c r="O35" i="51"/>
  <c r="P35" i="51" s="1"/>
  <c r="O36" i="51"/>
  <c r="P36" i="51" s="1"/>
  <c r="O37" i="51"/>
  <c r="P37" i="51" s="1"/>
  <c r="O38" i="51"/>
  <c r="P38" i="51" s="1"/>
  <c r="O39" i="51"/>
  <c r="P39" i="51" s="1"/>
  <c r="O40" i="51"/>
  <c r="P40" i="51" s="1"/>
  <c r="O41" i="51"/>
  <c r="P41" i="51" s="1"/>
  <c r="O42" i="51"/>
  <c r="P42" i="51" s="1"/>
  <c r="O43" i="51"/>
  <c r="P43" i="51" s="1"/>
  <c r="O44" i="51"/>
  <c r="P44" i="51" s="1"/>
  <c r="O45" i="51"/>
  <c r="P45" i="51" s="1"/>
  <c r="O46" i="51"/>
  <c r="P46" i="51" s="1"/>
  <c r="O47" i="51"/>
  <c r="P47" i="51" s="1"/>
  <c r="O48" i="51"/>
  <c r="P48" i="51" s="1"/>
  <c r="O49" i="51"/>
  <c r="P49" i="51" s="1"/>
  <c r="O50" i="51"/>
  <c r="P50" i="51" s="1"/>
  <c r="O51" i="51"/>
  <c r="P51" i="51" s="1"/>
  <c r="O52" i="51"/>
  <c r="P52" i="51" s="1"/>
  <c r="O53" i="51"/>
  <c r="P53" i="51" s="1"/>
  <c r="O54" i="51"/>
  <c r="P54" i="51" s="1"/>
  <c r="O55" i="51"/>
  <c r="P55" i="51" s="1"/>
  <c r="O68" i="51"/>
  <c r="P68" i="51" s="1"/>
  <c r="O69" i="51"/>
  <c r="P69" i="51" s="1"/>
  <c r="O70" i="51"/>
  <c r="P70" i="51" s="1"/>
  <c r="O71" i="51"/>
  <c r="P71" i="51" s="1"/>
  <c r="O72" i="51"/>
  <c r="P72" i="51" s="1"/>
  <c r="O73" i="51"/>
  <c r="P73" i="51" s="1"/>
  <c r="O74" i="51"/>
  <c r="P74" i="51" s="1"/>
  <c r="O75" i="51"/>
  <c r="P75" i="51" s="1"/>
  <c r="O76" i="51"/>
  <c r="P76" i="51" s="1"/>
  <c r="O77" i="51"/>
  <c r="P77" i="51" s="1"/>
  <c r="O78" i="51"/>
  <c r="P78" i="51" s="1"/>
  <c r="O79" i="51"/>
  <c r="P79" i="51" s="1"/>
  <c r="O116" i="51"/>
  <c r="P116" i="51" s="1"/>
  <c r="O117" i="51"/>
  <c r="P117" i="51" s="1"/>
  <c r="O118" i="51"/>
  <c r="P118" i="51" s="1"/>
  <c r="O119" i="51"/>
  <c r="P119" i="51" s="1"/>
  <c r="O120" i="51"/>
  <c r="P120" i="51" s="1"/>
  <c r="O121" i="51"/>
  <c r="P121" i="51" s="1"/>
  <c r="O122" i="51"/>
  <c r="P122" i="51" s="1"/>
  <c r="O123" i="51"/>
  <c r="P123" i="51" s="1"/>
  <c r="O124" i="51"/>
  <c r="P124" i="51" s="1"/>
  <c r="O125" i="51"/>
  <c r="P125" i="51" s="1"/>
  <c r="O126" i="51"/>
  <c r="P126" i="51" s="1"/>
  <c r="O127" i="51"/>
  <c r="P127" i="51" s="1"/>
  <c r="O92" i="51"/>
  <c r="P92" i="51" s="1"/>
  <c r="O93" i="51"/>
  <c r="P93" i="51" s="1"/>
  <c r="O94" i="51"/>
  <c r="P94" i="51" s="1"/>
  <c r="O95" i="51"/>
  <c r="P95" i="51" s="1"/>
  <c r="O96" i="51"/>
  <c r="P96" i="51" s="1"/>
  <c r="O97" i="51"/>
  <c r="P97" i="51" s="1"/>
  <c r="O98" i="51"/>
  <c r="P98" i="51" s="1"/>
  <c r="O99" i="51"/>
  <c r="P99" i="51" s="1"/>
  <c r="O100" i="51"/>
  <c r="P100" i="51" s="1"/>
  <c r="O101" i="51"/>
  <c r="P101" i="51" s="1"/>
  <c r="O102" i="51"/>
  <c r="P102" i="51" s="1"/>
  <c r="O103" i="51"/>
  <c r="P103" i="51" s="1"/>
  <c r="O164" i="51"/>
  <c r="P164" i="51" s="1"/>
  <c r="O165" i="51"/>
  <c r="P165" i="51" s="1"/>
  <c r="O166" i="51"/>
  <c r="P166" i="51" s="1"/>
  <c r="O167" i="51"/>
  <c r="P167" i="51" s="1"/>
  <c r="O168" i="51"/>
  <c r="P168" i="51" s="1"/>
  <c r="O169" i="51"/>
  <c r="P169" i="51" s="1"/>
  <c r="O170" i="51"/>
  <c r="P170" i="51" s="1"/>
  <c r="O171" i="51"/>
  <c r="P171" i="51" s="1"/>
  <c r="O172" i="51"/>
  <c r="P172" i="51" s="1"/>
  <c r="O173" i="51"/>
  <c r="P173" i="51" s="1"/>
  <c r="O174" i="51"/>
  <c r="P174" i="51" s="1"/>
  <c r="O175" i="51"/>
  <c r="P175" i="51" s="1"/>
  <c r="P206" i="51" l="1"/>
  <c r="Y185" i="51"/>
  <c r="AA104" i="51"/>
  <c r="AA185" i="51" s="1"/>
  <c r="AA20" i="51"/>
  <c r="AA178" i="51" s="1"/>
  <c r="Y178" i="51"/>
  <c r="Y183" i="51"/>
  <c r="AA80" i="51"/>
  <c r="AA183" i="51" s="1"/>
  <c r="Y188" i="51"/>
  <c r="AA140" i="51"/>
  <c r="AA188" i="51" s="1"/>
  <c r="O184" i="51"/>
  <c r="O185" i="51"/>
  <c r="O186" i="51"/>
  <c r="O182" i="51"/>
  <c r="O183" i="51"/>
  <c r="O181" i="51"/>
  <c r="T181" i="51"/>
  <c r="Q186" i="51"/>
  <c r="Q181" i="51"/>
  <c r="Q182" i="51"/>
  <c r="Q183" i="51"/>
  <c r="Q185" i="51"/>
  <c r="Q184" i="51"/>
  <c r="T186" i="51"/>
  <c r="T182" i="51"/>
  <c r="T183" i="51"/>
  <c r="T184" i="51"/>
  <c r="T185" i="51"/>
  <c r="R181" i="51"/>
  <c r="R186" i="51"/>
  <c r="R182" i="51"/>
  <c r="R184" i="51"/>
  <c r="R183" i="51"/>
  <c r="R185" i="51"/>
  <c r="O190" i="51"/>
  <c r="T190" i="51"/>
  <c r="Q190" i="51"/>
  <c r="O189" i="51"/>
  <c r="T189" i="51"/>
  <c r="Q189" i="51"/>
  <c r="O188" i="51"/>
  <c r="Q188" i="51"/>
  <c r="T188" i="51"/>
  <c r="Q180" i="51"/>
  <c r="O180" i="51"/>
  <c r="T180" i="51"/>
  <c r="Q179" i="51"/>
  <c r="T179" i="51"/>
  <c r="O179" i="51"/>
  <c r="T178" i="51"/>
  <c r="Q178" i="51"/>
  <c r="O178" i="51"/>
  <c r="T177" i="51"/>
  <c r="Q177" i="51"/>
  <c r="O177" i="51"/>
  <c r="Q187" i="51"/>
  <c r="O187" i="51"/>
  <c r="T187" i="51"/>
  <c r="G16" i="24"/>
  <c r="R180" i="51"/>
  <c r="R179" i="51"/>
  <c r="R178" i="51"/>
  <c r="R187" i="51"/>
  <c r="R177" i="51"/>
  <c r="R190" i="51"/>
  <c r="R189" i="51"/>
  <c r="R188" i="51"/>
  <c r="J9" i="51"/>
  <c r="J17" i="51"/>
  <c r="J33" i="51"/>
  <c r="J41" i="51"/>
  <c r="J49" i="51"/>
  <c r="J73" i="51"/>
  <c r="J117" i="51"/>
  <c r="J125" i="51"/>
  <c r="J97" i="51"/>
  <c r="J165" i="51"/>
  <c r="J173" i="51"/>
  <c r="J10" i="51"/>
  <c r="J18" i="51"/>
  <c r="J34" i="51"/>
  <c r="J42" i="51"/>
  <c r="J50" i="51"/>
  <c r="J74" i="51"/>
  <c r="J118" i="51"/>
  <c r="J126" i="51"/>
  <c r="J98" i="51"/>
  <c r="J166" i="51"/>
  <c r="J174" i="51"/>
  <c r="J72" i="51"/>
  <c r="J96" i="51"/>
  <c r="J11" i="51"/>
  <c r="J19" i="51"/>
  <c r="J35" i="51"/>
  <c r="J43" i="51"/>
  <c r="J51" i="51"/>
  <c r="J75" i="51"/>
  <c r="J119" i="51"/>
  <c r="J127" i="51"/>
  <c r="J99" i="51"/>
  <c r="J167" i="51"/>
  <c r="J175" i="51"/>
  <c r="J47" i="51"/>
  <c r="J71" i="51"/>
  <c r="J123" i="51"/>
  <c r="J171" i="51"/>
  <c r="J8" i="51"/>
  <c r="J32" i="51"/>
  <c r="J164" i="51"/>
  <c r="J12" i="51"/>
  <c r="J36" i="51"/>
  <c r="J44" i="51"/>
  <c r="J52" i="51"/>
  <c r="J68" i="51"/>
  <c r="J76" i="51"/>
  <c r="J120" i="51"/>
  <c r="J92" i="51"/>
  <c r="J100" i="51"/>
  <c r="J168" i="51"/>
  <c r="J95" i="51"/>
  <c r="J16" i="51"/>
  <c r="J48" i="51"/>
  <c r="J116" i="51"/>
  <c r="J172" i="51"/>
  <c r="J13" i="51"/>
  <c r="J37" i="51"/>
  <c r="J45" i="51"/>
  <c r="J53" i="51"/>
  <c r="J69" i="51"/>
  <c r="J77" i="51"/>
  <c r="J121" i="51"/>
  <c r="J93" i="51"/>
  <c r="J101" i="51"/>
  <c r="J169" i="51"/>
  <c r="J15" i="51"/>
  <c r="J39" i="51"/>
  <c r="J55" i="51"/>
  <c r="J79" i="51"/>
  <c r="J103" i="51"/>
  <c r="J40" i="51"/>
  <c r="J124" i="51"/>
  <c r="J14" i="51"/>
  <c r="J38" i="51"/>
  <c r="J46" i="51"/>
  <c r="J54" i="51"/>
  <c r="J70" i="51"/>
  <c r="J78" i="51"/>
  <c r="J122" i="51"/>
  <c r="J94" i="51"/>
  <c r="J102" i="51"/>
  <c r="J170" i="51"/>
  <c r="O206" i="51"/>
  <c r="Y15" i="50" l="1"/>
  <c r="AG183" i="51"/>
  <c r="Y10" i="50"/>
  <c r="AG178" i="51"/>
  <c r="Y20" i="50"/>
  <c r="AG188" i="51"/>
  <c r="Y17" i="50"/>
  <c r="AG185" i="51"/>
  <c r="M19" i="65"/>
  <c r="AC9" i="50" l="1"/>
  <c r="V9" i="50" s="1"/>
  <c r="P9" i="50" l="1"/>
  <c r="U15" i="51"/>
  <c r="U10" i="51"/>
  <c r="U11" i="51"/>
  <c r="U14" i="51"/>
  <c r="U16" i="51"/>
  <c r="U17" i="51"/>
  <c r="U8" i="51"/>
  <c r="U18" i="51"/>
  <c r="U19" i="51"/>
  <c r="U9" i="51"/>
  <c r="U12" i="51"/>
  <c r="U13" i="51"/>
  <c r="L9" i="50"/>
  <c r="U186" i="51" l="1"/>
  <c r="AF186" i="51" s="1"/>
  <c r="P186" i="51"/>
  <c r="U183" i="51"/>
  <c r="AF183" i="51" s="1"/>
  <c r="U182" i="51"/>
  <c r="AF182" i="51" s="1"/>
  <c r="U185" i="51"/>
  <c r="AF185" i="51" s="1"/>
  <c r="U184" i="51"/>
  <c r="AF184" i="51" s="1"/>
  <c r="P181" i="51"/>
  <c r="P184" i="51"/>
  <c r="P185" i="51"/>
  <c r="U181" i="51"/>
  <c r="AF181" i="51" s="1"/>
  <c r="P182" i="51"/>
  <c r="P183" i="51"/>
  <c r="P179" i="51"/>
  <c r="X36" i="51"/>
  <c r="U189" i="51"/>
  <c r="AF189" i="51" s="1"/>
  <c r="X136" i="51"/>
  <c r="Y136" i="51" s="1"/>
  <c r="X62" i="51"/>
  <c r="Y62" i="51" s="1"/>
  <c r="X57" i="51"/>
  <c r="Y57" i="51" s="1"/>
  <c r="X138" i="51"/>
  <c r="Y138" i="51" s="1"/>
  <c r="X56" i="51"/>
  <c r="X132" i="51"/>
  <c r="Y132" i="51" s="1"/>
  <c r="X59" i="51"/>
  <c r="Y59" i="51" s="1"/>
  <c r="X63" i="51"/>
  <c r="Y63" i="51" s="1"/>
  <c r="X134" i="51"/>
  <c r="Y134" i="51" s="1"/>
  <c r="X61" i="51"/>
  <c r="Y61" i="51" s="1"/>
  <c r="X131" i="51"/>
  <c r="Y131" i="51" s="1"/>
  <c r="X60" i="51"/>
  <c r="Y60" i="51" s="1"/>
  <c r="X66" i="51"/>
  <c r="Y66" i="51" s="1"/>
  <c r="X137" i="51"/>
  <c r="Y137" i="51" s="1"/>
  <c r="X130" i="51"/>
  <c r="Y130" i="51" s="1"/>
  <c r="X135" i="51"/>
  <c r="Y135" i="51" s="1"/>
  <c r="X58" i="51"/>
  <c r="Y58" i="51" s="1"/>
  <c r="X64" i="51"/>
  <c r="Y64" i="51" s="1"/>
  <c r="X129" i="51"/>
  <c r="Y129" i="51" s="1"/>
  <c r="X65" i="51"/>
  <c r="Y65" i="51" s="1"/>
  <c r="X139" i="51"/>
  <c r="Y139" i="51" s="1"/>
  <c r="X128" i="51"/>
  <c r="X133" i="51"/>
  <c r="Y133" i="51" s="1"/>
  <c r="X67" i="51"/>
  <c r="Y67" i="51" s="1"/>
  <c r="X181" i="51" l="1"/>
  <c r="X187" i="51"/>
  <c r="Y128" i="51"/>
  <c r="Y187" i="51" s="1"/>
  <c r="Y56" i="51"/>
  <c r="Y181" i="51" s="1"/>
  <c r="AA139" i="51"/>
  <c r="AA138" i="51"/>
  <c r="AA57" i="51"/>
  <c r="AA137" i="51"/>
  <c r="AA63" i="51"/>
  <c r="AA62" i="51"/>
  <c r="AA64" i="51"/>
  <c r="AA60" i="51"/>
  <c r="AA132" i="51"/>
  <c r="AA58" i="51"/>
  <c r="AA135" i="51"/>
  <c r="AA61" i="51"/>
  <c r="AA130" i="51"/>
  <c r="AA134" i="51"/>
  <c r="AA65" i="51"/>
  <c r="AA67" i="51"/>
  <c r="AA129" i="51"/>
  <c r="AA66" i="51"/>
  <c r="AA59" i="51"/>
  <c r="AA136" i="51"/>
  <c r="AA133" i="51"/>
  <c r="AA131" i="51"/>
  <c r="Y19" i="50" l="1"/>
  <c r="AG187" i="51"/>
  <c r="AA128" i="51"/>
  <c r="AA187" i="51" s="1"/>
  <c r="Y13" i="50"/>
  <c r="AG181" i="51"/>
  <c r="AA56" i="51"/>
  <c r="AA181" i="51" s="1"/>
  <c r="F25" i="24"/>
  <c r="U180" i="51"/>
  <c r="AF180" i="51" s="1"/>
  <c r="U187" i="51"/>
  <c r="AF187" i="51" s="1"/>
  <c r="U188" i="51"/>
  <c r="AF188" i="51" s="1"/>
  <c r="U177" i="51"/>
  <c r="AF177" i="51" s="1"/>
  <c r="U178" i="51"/>
  <c r="AF178" i="51" s="1"/>
  <c r="G23" i="24" l="1"/>
  <c r="V20" i="65" s="1"/>
  <c r="G11" i="24"/>
  <c r="V18" i="65" l="1"/>
  <c r="V21" i="65" s="1"/>
  <c r="G31" i="24"/>
  <c r="L27" i="54"/>
  <c r="G9" i="24" l="1"/>
  <c r="M18" i="65" l="1"/>
  <c r="G17" i="54"/>
  <c r="G45" i="24"/>
  <c r="G10" i="49"/>
  <c r="D10" i="49" l="1"/>
  <c r="D11" i="49" s="1"/>
  <c r="E10" i="49"/>
  <c r="E11" i="49" s="1"/>
  <c r="C10" i="49"/>
  <c r="C11" i="49" s="1"/>
  <c r="F8" i="49"/>
  <c r="F9" i="49"/>
  <c r="F7" i="49"/>
  <c r="D17" i="54" l="1"/>
  <c r="F10" i="49"/>
  <c r="F11" i="49" s="1"/>
  <c r="L25" i="54" s="1"/>
  <c r="C25" i="24"/>
  <c r="G44" i="24" l="1"/>
  <c r="G21" i="24" l="1"/>
  <c r="M20" i="65" l="1"/>
  <c r="M21" i="65" s="1"/>
  <c r="G29" i="24"/>
  <c r="G8" i="24" l="1"/>
  <c r="J18" i="65" l="1"/>
  <c r="B18" i="45"/>
  <c r="B19" i="45" l="1"/>
  <c r="B20" i="45" l="1"/>
  <c r="B21" i="45" l="1"/>
  <c r="B22" i="45" l="1"/>
  <c r="B23" i="45" l="1"/>
  <c r="B24" i="45" l="1"/>
  <c r="B25" i="45" l="1"/>
  <c r="B26" i="45" l="1"/>
  <c r="B27" i="45" l="1"/>
  <c r="B28" i="45" l="1"/>
  <c r="B29" i="45" l="1"/>
  <c r="B30" i="45" l="1"/>
  <c r="B31" i="45" l="1"/>
  <c r="B32" i="45" l="1"/>
  <c r="B33" i="45" l="1"/>
  <c r="B34" i="45" l="1"/>
  <c r="B35" i="45" l="1"/>
  <c r="B36" i="45" l="1"/>
  <c r="B37" i="45" l="1"/>
  <c r="B38" i="45" l="1"/>
  <c r="B39" i="45" l="1"/>
  <c r="B40" i="45" l="1"/>
  <c r="B41" i="45" l="1"/>
  <c r="B42" i="45" l="1"/>
  <c r="B43" i="45" l="1"/>
  <c r="B44" i="45" l="1"/>
  <c r="B45" i="45" l="1"/>
  <c r="B46" i="45" l="1"/>
  <c r="B47" i="45" l="1"/>
  <c r="B48" i="45" l="1"/>
  <c r="B49" i="45" l="1"/>
  <c r="B50" i="45" l="1"/>
  <c r="B51" i="45" l="1"/>
  <c r="B52" i="45" l="1"/>
  <c r="B53" i="45" l="1"/>
  <c r="B54" i="45" l="1"/>
  <c r="B55" i="45" l="1"/>
  <c r="B56" i="45" l="1"/>
  <c r="B57" i="45" l="1"/>
  <c r="B58" i="45" l="1"/>
  <c r="B59" i="45" l="1"/>
  <c r="B60" i="45" l="1"/>
  <c r="B61" i="45" l="1"/>
  <c r="B62" i="45" l="1"/>
  <c r="B63" i="45" l="1"/>
  <c r="B64" i="45" l="1"/>
  <c r="B65" i="45" l="1"/>
  <c r="B66" i="45" l="1"/>
  <c r="B67" i="45" l="1"/>
  <c r="B68" i="45" l="1"/>
  <c r="B69" i="45" l="1"/>
  <c r="B70" i="45" l="1"/>
  <c r="B71" i="45" l="1"/>
  <c r="B72" i="45" l="1"/>
  <c r="B73" i="45" l="1"/>
  <c r="B74" i="45" l="1"/>
  <c r="B75" i="45" l="1"/>
  <c r="B76" i="45" l="1"/>
  <c r="B77" i="45" l="1"/>
  <c r="B78" i="45" l="1"/>
  <c r="B79" i="45" l="1"/>
  <c r="B80" i="45" l="1"/>
  <c r="B81" i="45" l="1"/>
  <c r="B82" i="45" l="1"/>
  <c r="B83" i="45" l="1"/>
  <c r="B84" i="45" l="1"/>
  <c r="B85" i="45" l="1"/>
  <c r="B86" i="45" l="1"/>
  <c r="B87" i="45" l="1"/>
  <c r="B88" i="45" l="1"/>
  <c r="B89" i="45" l="1"/>
  <c r="B90" i="45" l="1"/>
  <c r="B91" i="45" l="1"/>
  <c r="B92" i="45" l="1"/>
  <c r="B93" i="45" l="1"/>
  <c r="B94" i="45" l="1"/>
  <c r="B95" i="45" l="1"/>
  <c r="B96" i="45" l="1"/>
  <c r="B97" i="45" l="1"/>
  <c r="B98" i="45" l="1"/>
  <c r="B99" i="45" l="1"/>
  <c r="B100" i="45" l="1"/>
  <c r="C43" i="28" l="1"/>
  <c r="C42" i="28"/>
  <c r="R12" i="28" l="1"/>
  <c r="P22" i="28"/>
  <c r="P24" i="28"/>
  <c r="P18" i="28"/>
  <c r="P28" i="28"/>
  <c r="P30" i="28"/>
  <c r="P10" i="28"/>
  <c r="P12" i="28"/>
  <c r="P16" i="28"/>
  <c r="P23" i="28"/>
  <c r="P11" i="28"/>
  <c r="P19" i="28"/>
  <c r="P13" i="28"/>
  <c r="P17" i="28"/>
  <c r="P25" i="28"/>
  <c r="P29" i="28"/>
  <c r="P31" i="28"/>
  <c r="R24" i="28"/>
  <c r="R22" i="28"/>
  <c r="R28" i="28"/>
  <c r="R18" i="28"/>
  <c r="J10" i="50"/>
  <c r="K10" i="50" s="1"/>
  <c r="R10" i="28"/>
  <c r="R16" i="28"/>
  <c r="R30" i="28"/>
  <c r="R13" i="28"/>
  <c r="J11" i="50" s="1"/>
  <c r="K11" i="50" s="1"/>
  <c r="R19" i="28"/>
  <c r="R17" i="28"/>
  <c r="J18" i="50" s="1"/>
  <c r="K18" i="50" s="1"/>
  <c r="R11" i="28"/>
  <c r="R31" i="28"/>
  <c r="R23" i="28"/>
  <c r="R25" i="28"/>
  <c r="R29" i="28"/>
  <c r="J17" i="50" l="1"/>
  <c r="K17" i="50" s="1"/>
  <c r="J16" i="50"/>
  <c r="K16" i="50" s="1"/>
  <c r="J14" i="50"/>
  <c r="K14" i="50" s="1"/>
  <c r="J15" i="50"/>
  <c r="K15" i="50" s="1"/>
  <c r="J9" i="50"/>
  <c r="K9" i="50" l="1"/>
  <c r="AE16" i="34"/>
  <c r="O9" i="50" l="1"/>
  <c r="H11" i="51"/>
  <c r="H19" i="51"/>
  <c r="H35" i="51"/>
  <c r="H43" i="51"/>
  <c r="H51" i="51"/>
  <c r="H75" i="51"/>
  <c r="H119" i="51"/>
  <c r="H127" i="51"/>
  <c r="H99" i="51"/>
  <c r="H167" i="51"/>
  <c r="H175" i="51"/>
  <c r="H12" i="51"/>
  <c r="H36" i="51"/>
  <c r="H44" i="51"/>
  <c r="H52" i="51"/>
  <c r="H68" i="51"/>
  <c r="H76" i="51"/>
  <c r="H120" i="51"/>
  <c r="H92" i="51"/>
  <c r="H100" i="51"/>
  <c r="H168" i="51"/>
  <c r="H54" i="51"/>
  <c r="H70" i="51"/>
  <c r="H122" i="51"/>
  <c r="H102" i="51"/>
  <c r="H32" i="51"/>
  <c r="H116" i="51"/>
  <c r="H96" i="51"/>
  <c r="H13" i="51"/>
  <c r="H37" i="51"/>
  <c r="H45" i="51"/>
  <c r="H53" i="51"/>
  <c r="H69" i="51"/>
  <c r="H77" i="51"/>
  <c r="H121" i="51"/>
  <c r="H93" i="51"/>
  <c r="H101" i="51"/>
  <c r="H169" i="51"/>
  <c r="H14" i="51"/>
  <c r="H38" i="51"/>
  <c r="H46" i="51"/>
  <c r="H78" i="51"/>
  <c r="H94" i="51"/>
  <c r="H170" i="51"/>
  <c r="H8" i="51"/>
  <c r="H72" i="51"/>
  <c r="H164" i="51"/>
  <c r="H15" i="51"/>
  <c r="H39" i="51"/>
  <c r="H47" i="51"/>
  <c r="H55" i="51"/>
  <c r="H71" i="51"/>
  <c r="H79" i="51"/>
  <c r="H123" i="51"/>
  <c r="H95" i="51"/>
  <c r="H103" i="51"/>
  <c r="H171" i="51"/>
  <c r="H16" i="51"/>
  <c r="H40" i="51"/>
  <c r="H48" i="51"/>
  <c r="H124" i="51"/>
  <c r="H172" i="51"/>
  <c r="H9" i="51"/>
  <c r="H17" i="51"/>
  <c r="H33" i="51"/>
  <c r="H41" i="51"/>
  <c r="H49" i="51"/>
  <c r="H73" i="51"/>
  <c r="H117" i="51"/>
  <c r="H125" i="51"/>
  <c r="H97" i="51"/>
  <c r="H165" i="51"/>
  <c r="H173" i="51"/>
  <c r="H10" i="51"/>
  <c r="H18" i="51"/>
  <c r="H34" i="51"/>
  <c r="H42" i="51"/>
  <c r="H50" i="51"/>
  <c r="H74" i="51"/>
  <c r="H118" i="51"/>
  <c r="H126" i="51"/>
  <c r="H98" i="51"/>
  <c r="H166" i="51"/>
  <c r="H174" i="51"/>
  <c r="H9" i="50"/>
  <c r="P8" i="51" l="1"/>
  <c r="X8" i="51" s="1"/>
  <c r="Y8" i="51" s="1"/>
  <c r="AA8" i="51" s="1"/>
  <c r="P11" i="51"/>
  <c r="X11" i="51" s="1"/>
  <c r="Y11" i="51" s="1"/>
  <c r="P10" i="51"/>
  <c r="P9" i="51"/>
  <c r="P18" i="51"/>
  <c r="P19" i="51"/>
  <c r="P17" i="51"/>
  <c r="P16" i="51"/>
  <c r="P15" i="51"/>
  <c r="P14" i="51"/>
  <c r="P13" i="51"/>
  <c r="P12" i="51"/>
  <c r="R9" i="50"/>
  <c r="X167" i="51"/>
  <c r="Y167" i="51" s="1"/>
  <c r="X175" i="51"/>
  <c r="Y175" i="51" s="1"/>
  <c r="X166" i="51"/>
  <c r="Y166" i="51" s="1"/>
  <c r="X54" i="51"/>
  <c r="Y54" i="51" s="1"/>
  <c r="X53" i="51"/>
  <c r="Y53" i="51" s="1"/>
  <c r="X92" i="51"/>
  <c r="X32" i="51"/>
  <c r="X103" i="51"/>
  <c r="Y103" i="51" s="1"/>
  <c r="X68" i="51"/>
  <c r="X41" i="51"/>
  <c r="Y41" i="51" s="1"/>
  <c r="X94" i="51"/>
  <c r="Y94" i="51" s="1"/>
  <c r="X93" i="51"/>
  <c r="Y93" i="51" s="1"/>
  <c r="X77" i="51"/>
  <c r="Y77" i="51" s="1"/>
  <c r="X33" i="51"/>
  <c r="Y33" i="51" s="1"/>
  <c r="X116" i="51"/>
  <c r="X102" i="51"/>
  <c r="Y102" i="51" s="1"/>
  <c r="X127" i="51"/>
  <c r="Y127" i="51" s="1"/>
  <c r="X42" i="51"/>
  <c r="Y42" i="51" s="1"/>
  <c r="X125" i="51"/>
  <c r="Y125" i="51" s="1"/>
  <c r="X35" i="51"/>
  <c r="Y35" i="51" s="1"/>
  <c r="X78" i="51"/>
  <c r="Y78" i="51" s="1"/>
  <c r="X69" i="51"/>
  <c r="Y69" i="51" s="1"/>
  <c r="X34" i="51"/>
  <c r="Y34" i="51" s="1"/>
  <c r="X120" i="51"/>
  <c r="Y120" i="51" s="1"/>
  <c r="AB120" i="51" s="1"/>
  <c r="X117" i="51"/>
  <c r="Y117" i="51" s="1"/>
  <c r="X70" i="51"/>
  <c r="Y70" i="51" s="1"/>
  <c r="X118" i="51"/>
  <c r="Y118" i="51" s="1"/>
  <c r="Y36" i="51"/>
  <c r="X96" i="51"/>
  <c r="Y96" i="51" s="1"/>
  <c r="AB96" i="51" s="1"/>
  <c r="X71" i="51"/>
  <c r="Y71" i="51" s="1"/>
  <c r="X72" i="51"/>
  <c r="Y72" i="51" s="1"/>
  <c r="X119" i="51"/>
  <c r="Y119" i="51" s="1"/>
  <c r="X126" i="51"/>
  <c r="Y126" i="51" s="1"/>
  <c r="X95" i="51"/>
  <c r="Y95" i="51" s="1"/>
  <c r="X101" i="51"/>
  <c r="Y101" i="51" s="1"/>
  <c r="AB101" i="51" s="1"/>
  <c r="X79" i="51"/>
  <c r="Y79" i="51" s="1"/>
  <c r="X43" i="51"/>
  <c r="Y43" i="51" s="1"/>
  <c r="P180" i="51"/>
  <c r="P187" i="51"/>
  <c r="P188" i="51"/>
  <c r="P189" i="51"/>
  <c r="P190" i="51"/>
  <c r="Y116" i="51" l="1"/>
  <c r="Y92" i="51"/>
  <c r="P178" i="51"/>
  <c r="X18" i="51"/>
  <c r="Y18" i="51" s="1"/>
  <c r="AA18" i="51" s="1"/>
  <c r="X19" i="51"/>
  <c r="Y19" i="51" s="1"/>
  <c r="AA19" i="51" s="1"/>
  <c r="X10" i="51"/>
  <c r="Y10" i="51" s="1"/>
  <c r="X9" i="51"/>
  <c r="P177" i="51"/>
  <c r="X12" i="51"/>
  <c r="Y12" i="51" s="1"/>
  <c r="X17" i="51"/>
  <c r="Y17" i="51" s="1"/>
  <c r="AA17" i="51" s="1"/>
  <c r="X44" i="51"/>
  <c r="U179" i="51"/>
  <c r="AF179" i="51" s="1"/>
  <c r="X164" i="51"/>
  <c r="U190" i="51"/>
  <c r="AF190" i="51" s="1"/>
  <c r="X173" i="51"/>
  <c r="Y173" i="51" s="1"/>
  <c r="X46" i="51"/>
  <c r="Y46" i="51" s="1"/>
  <c r="X165" i="51"/>
  <c r="Y165" i="51" s="1"/>
  <c r="X55" i="51"/>
  <c r="Y55" i="51" s="1"/>
  <c r="AA55" i="51" s="1"/>
  <c r="X174" i="51"/>
  <c r="Y174" i="51" s="1"/>
  <c r="X47" i="51"/>
  <c r="Y47" i="51" s="1"/>
  <c r="X48" i="51"/>
  <c r="Y48" i="51" s="1"/>
  <c r="X45" i="51"/>
  <c r="Y45" i="51" s="1"/>
  <c r="X168" i="51"/>
  <c r="Y168" i="51" s="1"/>
  <c r="AA102" i="51"/>
  <c r="AA118" i="51"/>
  <c r="AA95" i="51"/>
  <c r="AA96" i="51"/>
  <c r="AA117" i="51"/>
  <c r="AA69" i="51"/>
  <c r="AA70" i="51"/>
  <c r="AA78" i="51"/>
  <c r="AA175" i="51"/>
  <c r="AA34" i="51"/>
  <c r="AA77" i="51"/>
  <c r="AA103" i="51"/>
  <c r="AA126" i="51"/>
  <c r="AA120" i="51"/>
  <c r="AA127" i="51"/>
  <c r="AA33" i="51"/>
  <c r="AA53" i="51"/>
  <c r="AA79" i="51"/>
  <c r="AA72" i="51"/>
  <c r="AA54" i="51"/>
  <c r="AA93" i="51"/>
  <c r="AA41" i="51"/>
  <c r="AA167" i="51"/>
  <c r="AA35" i="51"/>
  <c r="AA125" i="51"/>
  <c r="AA166" i="51"/>
  <c r="AA94" i="51"/>
  <c r="AA43" i="51"/>
  <c r="AA42" i="51"/>
  <c r="AA101" i="51"/>
  <c r="AA71" i="51"/>
  <c r="AA119" i="51"/>
  <c r="AA36" i="51"/>
  <c r="AA11" i="51"/>
  <c r="Y32" i="51"/>
  <c r="Y68" i="51"/>
  <c r="AA92" i="51" l="1"/>
  <c r="Y9" i="51"/>
  <c r="AA116" i="51"/>
  <c r="Y44" i="51"/>
  <c r="Y164" i="51"/>
  <c r="AA10" i="51"/>
  <c r="AA12" i="51"/>
  <c r="AA174" i="51"/>
  <c r="AA173" i="51"/>
  <c r="AA165" i="51"/>
  <c r="AA46" i="51"/>
  <c r="AA48" i="51"/>
  <c r="AA45" i="51"/>
  <c r="AA168" i="51"/>
  <c r="AA68" i="51"/>
  <c r="AA32" i="51"/>
  <c r="AA47" i="51"/>
  <c r="F37" i="28"/>
  <c r="AA9" i="51" l="1"/>
  <c r="AA164" i="51"/>
  <c r="AA44" i="51"/>
  <c r="G20" i="24" l="1"/>
  <c r="J20" i="65" s="1"/>
  <c r="G39" i="24" l="1"/>
  <c r="F36" i="28" l="1"/>
  <c r="F39" i="28" s="1"/>
  <c r="D36" i="28" l="1"/>
  <c r="C48" i="28"/>
  <c r="D35" i="28"/>
  <c r="D37" i="28"/>
  <c r="W40" i="51" l="1"/>
  <c r="W74" i="51"/>
  <c r="W169" i="51" l="1"/>
  <c r="W16" i="51"/>
  <c r="W100" i="51"/>
  <c r="W76" i="51"/>
  <c r="W171" i="51"/>
  <c r="W123" i="51"/>
  <c r="W39" i="51"/>
  <c r="W75" i="51"/>
  <c r="W99" i="51"/>
  <c r="W15" i="51"/>
  <c r="W51" i="51"/>
  <c r="W122" i="51"/>
  <c r="W52" i="51"/>
  <c r="W170" i="51"/>
  <c r="W172" i="51"/>
  <c r="X172" i="51" s="1"/>
  <c r="Y172" i="51" s="1"/>
  <c r="W124" i="51"/>
  <c r="W38" i="51"/>
  <c r="W14" i="51"/>
  <c r="W98" i="51"/>
  <c r="W50" i="51"/>
  <c r="W190" i="51" l="1"/>
  <c r="W22" i="50" s="1"/>
  <c r="X22" i="50" s="1"/>
  <c r="Z172" i="51"/>
  <c r="AA172" i="51"/>
  <c r="W121" i="51"/>
  <c r="W186" i="51" s="1"/>
  <c r="W18" i="50" s="1"/>
  <c r="X18" i="50" s="1"/>
  <c r="W37" i="51"/>
  <c r="W179" i="51" s="1"/>
  <c r="W11" i="50" s="1"/>
  <c r="X11" i="50" s="1"/>
  <c r="W49" i="51"/>
  <c r="W180" i="51" s="1"/>
  <c r="W12" i="50" s="1"/>
  <c r="X12" i="50" s="1"/>
  <c r="W13" i="51"/>
  <c r="W177" i="51" s="1"/>
  <c r="W9" i="50" s="1"/>
  <c r="X9" i="50" s="1"/>
  <c r="W97" i="51"/>
  <c r="W184" i="51" s="1"/>
  <c r="W16" i="50" s="1"/>
  <c r="X16" i="50" s="1"/>
  <c r="W73" i="51"/>
  <c r="W182" i="51" s="1"/>
  <c r="W14" i="50" s="1"/>
  <c r="X14" i="50" s="1"/>
  <c r="X74" i="51"/>
  <c r="Y74" i="51" s="1"/>
  <c r="X40" i="51"/>
  <c r="Y40" i="51" s="1"/>
  <c r="X169" i="51"/>
  <c r="X37" i="51" l="1"/>
  <c r="AA40" i="51"/>
  <c r="AA74" i="51"/>
  <c r="X171" i="51"/>
  <c r="Y171" i="51" s="1"/>
  <c r="X39" i="51"/>
  <c r="Y39" i="51" s="1"/>
  <c r="X124" i="51"/>
  <c r="Y124" i="51" s="1"/>
  <c r="X123" i="51"/>
  <c r="Y123" i="51" s="1"/>
  <c r="X52" i="51"/>
  <c r="Y52" i="51" s="1"/>
  <c r="X14" i="51"/>
  <c r="Y14" i="51" s="1"/>
  <c r="X170" i="51"/>
  <c r="Y170" i="51" s="1"/>
  <c r="X38" i="51"/>
  <c r="Y38" i="51" s="1"/>
  <c r="X100" i="51"/>
  <c r="Y100" i="51" s="1"/>
  <c r="AB100" i="51" s="1"/>
  <c r="X122" i="51"/>
  <c r="Y122" i="51" s="1"/>
  <c r="X16" i="51"/>
  <c r="Y16" i="51" s="1"/>
  <c r="X50" i="51"/>
  <c r="Y50" i="51" s="1"/>
  <c r="X75" i="51"/>
  <c r="Y75" i="51" s="1"/>
  <c r="X99" i="51"/>
  <c r="Y99" i="51" s="1"/>
  <c r="AB99" i="51" s="1"/>
  <c r="X98" i="51"/>
  <c r="Y98" i="51" s="1"/>
  <c r="AB98" i="51" s="1"/>
  <c r="X51" i="51"/>
  <c r="Y51" i="51" s="1"/>
  <c r="X15" i="51"/>
  <c r="Y15" i="51" s="1"/>
  <c r="X76" i="51"/>
  <c r="Y76" i="51" s="1"/>
  <c r="Y169" i="51"/>
  <c r="X13" i="51"/>
  <c r="X49" i="51"/>
  <c r="X121" i="51"/>
  <c r="X73" i="51"/>
  <c r="X97" i="51"/>
  <c r="X177" i="51" l="1"/>
  <c r="X184" i="51"/>
  <c r="X182" i="51"/>
  <c r="X186" i="51"/>
  <c r="X180" i="51"/>
  <c r="X179" i="51"/>
  <c r="X190" i="51"/>
  <c r="Y37" i="51"/>
  <c r="Y179" i="51" s="1"/>
  <c r="AB169" i="51"/>
  <c r="AA169" i="51"/>
  <c r="AA38" i="51"/>
  <c r="AA39" i="51"/>
  <c r="AA16" i="51"/>
  <c r="AA15" i="51"/>
  <c r="AA123" i="51"/>
  <c r="AA51" i="51"/>
  <c r="AA14" i="51"/>
  <c r="AA171" i="51"/>
  <c r="AA76" i="51"/>
  <c r="AA170" i="51"/>
  <c r="AA98" i="51"/>
  <c r="AA122" i="51"/>
  <c r="AA75" i="51"/>
  <c r="AA52" i="51"/>
  <c r="AA99" i="51"/>
  <c r="AA100" i="51"/>
  <c r="AA124" i="51"/>
  <c r="AA50" i="51"/>
  <c r="Y49" i="51"/>
  <c r="Y180" i="51" s="1"/>
  <c r="Y97" i="51"/>
  <c r="Y184" i="51" s="1"/>
  <c r="Y13" i="51"/>
  <c r="Y177" i="51" s="1"/>
  <c r="AG177" i="51" s="1"/>
  <c r="Y73" i="51"/>
  <c r="Y182" i="51" s="1"/>
  <c r="Y121" i="51"/>
  <c r="Y186" i="51" s="1"/>
  <c r="Y12" i="50" l="1"/>
  <c r="AG180" i="51"/>
  <c r="Y18" i="50"/>
  <c r="AG186" i="51"/>
  <c r="Y11" i="50"/>
  <c r="AG179" i="51"/>
  <c r="Y14" i="50"/>
  <c r="AG182" i="51"/>
  <c r="Y9" i="50"/>
  <c r="Y16" i="50"/>
  <c r="AG184" i="51"/>
  <c r="Y190" i="51"/>
  <c r="AG190" i="51" s="1"/>
  <c r="AA190" i="51"/>
  <c r="AB121" i="51"/>
  <c r="AB97" i="51"/>
  <c r="AA121" i="51"/>
  <c r="AA186" i="51" s="1"/>
  <c r="AA13" i="51"/>
  <c r="AA177" i="51" s="1"/>
  <c r="AA73" i="51"/>
  <c r="AA182" i="51" s="1"/>
  <c r="AA97" i="51"/>
  <c r="AA184" i="51" s="1"/>
  <c r="AA37" i="51"/>
  <c r="AA179" i="51" s="1"/>
  <c r="AA49" i="51"/>
  <c r="AA180" i="51" s="1"/>
  <c r="Y22" i="50" l="1"/>
  <c r="Y206" i="51"/>
  <c r="E35" i="1" l="1"/>
  <c r="E43" i="1" l="1"/>
  <c r="I10" i="91" l="1"/>
  <c r="E43" i="24"/>
  <c r="E46" i="24" s="1"/>
  <c r="G15" i="24"/>
  <c r="G28" i="24" s="1"/>
  <c r="J10" i="91" l="1"/>
  <c r="D6" i="24"/>
  <c r="J7" i="24"/>
  <c r="H11" i="91"/>
  <c r="I8" i="91"/>
  <c r="J8" i="91"/>
  <c r="F31" i="90"/>
  <c r="E15" i="54"/>
  <c r="I32" i="90"/>
  <c r="J19" i="65"/>
  <c r="J21" i="65" s="1"/>
  <c r="E10" i="54"/>
  <c r="I26" i="90"/>
  <c r="K26" i="90" s="1"/>
  <c r="J25" i="90"/>
  <c r="J42" i="90"/>
  <c r="G22" i="24"/>
  <c r="G10" i="24"/>
  <c r="E7" i="24"/>
  <c r="E19" i="24"/>
  <c r="G14" i="24"/>
  <c r="AH26" i="90" l="1"/>
  <c r="AH42" i="90" s="1"/>
  <c r="AI26" i="90"/>
  <c r="AI42" i="90" s="1"/>
  <c r="J6" i="24"/>
  <c r="D25" i="24"/>
  <c r="I11" i="91"/>
  <c r="J11" i="91"/>
  <c r="G30" i="24"/>
  <c r="G32" i="24" s="1"/>
  <c r="F43" i="24"/>
  <c r="E13" i="24"/>
  <c r="G7" i="24"/>
  <c r="E6" i="24"/>
  <c r="G19" i="65"/>
  <c r="K25" i="90"/>
  <c r="AH25" i="90" s="1"/>
  <c r="K42" i="90"/>
  <c r="H10" i="54"/>
  <c r="E9" i="54"/>
  <c r="K32" i="90"/>
  <c r="I31" i="90"/>
  <c r="E14" i="54"/>
  <c r="H15" i="54"/>
  <c r="J35" i="90"/>
  <c r="J41" i="90"/>
  <c r="P20" i="65"/>
  <c r="G20" i="65" s="1"/>
  <c r="P18" i="65"/>
  <c r="G18" i="65" s="1"/>
  <c r="D43" i="24"/>
  <c r="D46" i="24" s="1"/>
  <c r="G19" i="24"/>
  <c r="AH32" i="90" l="1"/>
  <c r="AI32" i="90"/>
  <c r="AI25" i="90"/>
  <c r="AI41" i="90" s="1"/>
  <c r="J25" i="24"/>
  <c r="G6" i="24"/>
  <c r="I7" i="49" s="1"/>
  <c r="H14" i="54"/>
  <c r="G13" i="24"/>
  <c r="F9" i="93" s="1"/>
  <c r="F14" i="93" s="1"/>
  <c r="G18" i="93" s="1"/>
  <c r="G19" i="93" s="1"/>
  <c r="G22" i="93" s="1"/>
  <c r="K41" i="90"/>
  <c r="AH41" i="90"/>
  <c r="AI48" i="90"/>
  <c r="K48" i="90"/>
  <c r="K31" i="90"/>
  <c r="K35" i="90" s="1"/>
  <c r="P21" i="65"/>
  <c r="G21" i="65" s="1"/>
  <c r="F48" i="90"/>
  <c r="F42" i="90"/>
  <c r="F25" i="90"/>
  <c r="F41" i="90" s="1"/>
  <c r="E25" i="24"/>
  <c r="H9" i="54"/>
  <c r="K23" i="93" l="1"/>
  <c r="L12" i="54" s="1"/>
  <c r="L13" i="54" s="1"/>
  <c r="AI35" i="90"/>
  <c r="AH35" i="90"/>
  <c r="AH31" i="90"/>
  <c r="AH47" i="90" s="1"/>
  <c r="AI31" i="90"/>
  <c r="AI47" i="90" s="1"/>
  <c r="E9" i="93"/>
  <c r="E14" i="93" s="1"/>
  <c r="E16" i="93" s="1"/>
  <c r="E18" i="93"/>
  <c r="I8" i="49"/>
  <c r="G25" i="24"/>
  <c r="G266" i="95"/>
  <c r="H582" i="95"/>
  <c r="H402" i="95"/>
  <c r="H515" i="95"/>
  <c r="H468" i="95"/>
  <c r="H337" i="95"/>
  <c r="K47" i="90"/>
  <c r="AH48" i="90"/>
  <c r="I42" i="90"/>
  <c r="AL42" i="90" s="1"/>
  <c r="I25" i="90"/>
  <c r="I41" i="90" s="1"/>
  <c r="AL41" i="90" s="1"/>
  <c r="F47" i="90"/>
  <c r="F35" i="90"/>
  <c r="I48" i="90"/>
  <c r="AL48" i="90" s="1"/>
  <c r="F17" i="54"/>
  <c r="E17" i="54"/>
  <c r="E19" i="93" l="1"/>
  <c r="E22" i="93" s="1"/>
  <c r="I23" i="93" s="1"/>
  <c r="K468" i="95"/>
  <c r="F430" i="95"/>
  <c r="H430" i="95" s="1"/>
  <c r="N430" i="95" s="1"/>
  <c r="O430" i="95" s="1"/>
  <c r="F438" i="95"/>
  <c r="H438" i="95" s="1"/>
  <c r="N438" i="95" s="1"/>
  <c r="O438" i="95" s="1"/>
  <c r="F432" i="95"/>
  <c r="H432" i="95" s="1"/>
  <c r="N432" i="95" s="1"/>
  <c r="F437" i="95"/>
  <c r="H437" i="95" s="1"/>
  <c r="N437" i="95" s="1"/>
  <c r="O437" i="95" s="1"/>
  <c r="F436" i="95"/>
  <c r="H436" i="95" s="1"/>
  <c r="N436" i="95" s="1"/>
  <c r="O436" i="95" s="1"/>
  <c r="F420" i="95"/>
  <c r="H420" i="95" s="1"/>
  <c r="N420" i="95" s="1"/>
  <c r="O420" i="95" s="1"/>
  <c r="F431" i="95"/>
  <c r="H431" i="95" s="1"/>
  <c r="N431" i="95" s="1"/>
  <c r="O431" i="95" s="1"/>
  <c r="F421" i="95"/>
  <c r="H421" i="95" s="1"/>
  <c r="N421" i="95" s="1"/>
  <c r="O421" i="95" s="1"/>
  <c r="F423" i="95"/>
  <c r="H423" i="95" s="1"/>
  <c r="N423" i="95" s="1"/>
  <c r="O423" i="95" s="1"/>
  <c r="F424" i="95"/>
  <c r="H424" i="95" s="1"/>
  <c r="N424" i="95" s="1"/>
  <c r="F429" i="95"/>
  <c r="H429" i="95" s="1"/>
  <c r="N429" i="95" s="1"/>
  <c r="O429" i="95" s="1"/>
  <c r="F435" i="95"/>
  <c r="H435" i="95" s="1"/>
  <c r="N435" i="95" s="1"/>
  <c r="O435" i="95" s="1"/>
  <c r="F422" i="95"/>
  <c r="H422" i="95" s="1"/>
  <c r="N422" i="95" s="1"/>
  <c r="O422" i="95" s="1"/>
  <c r="F419" i="95"/>
  <c r="H419" i="95" s="1"/>
  <c r="N419" i="95" s="1"/>
  <c r="O419" i="95" s="1"/>
  <c r="F440" i="95"/>
  <c r="H440" i="95" s="1"/>
  <c r="N440" i="95" s="1"/>
  <c r="F439" i="95"/>
  <c r="H439" i="95" s="1"/>
  <c r="N439" i="95" s="1"/>
  <c r="O439" i="95" s="1"/>
  <c r="F427" i="95"/>
  <c r="H427" i="95" s="1"/>
  <c r="N427" i="95" s="1"/>
  <c r="O427" i="95" s="1"/>
  <c r="F428" i="95"/>
  <c r="H428" i="95" s="1"/>
  <c r="N428" i="95" s="1"/>
  <c r="O428" i="95" s="1"/>
  <c r="K402" i="95"/>
  <c r="F354" i="95"/>
  <c r="H354" i="95" s="1"/>
  <c r="N354" i="95" s="1"/>
  <c r="O354" i="95" s="1"/>
  <c r="F357" i="95"/>
  <c r="H357" i="95" s="1"/>
  <c r="N357" i="95" s="1"/>
  <c r="O357" i="95" s="1"/>
  <c r="F373" i="95"/>
  <c r="H373" i="95" s="1"/>
  <c r="N373" i="95" s="1"/>
  <c r="O373" i="95" s="1"/>
  <c r="F355" i="95"/>
  <c r="H355" i="95" s="1"/>
  <c r="N355" i="95" s="1"/>
  <c r="O355" i="95" s="1"/>
  <c r="F365" i="95"/>
  <c r="H365" i="95" s="1"/>
  <c r="N365" i="95" s="1"/>
  <c r="O365" i="95" s="1"/>
  <c r="F364" i="95"/>
  <c r="H364" i="95" s="1"/>
  <c r="N364" i="95" s="1"/>
  <c r="O364" i="95" s="1"/>
  <c r="F363" i="95"/>
  <c r="H363" i="95" s="1"/>
  <c r="N363" i="95" s="1"/>
  <c r="O363" i="95" s="1"/>
  <c r="F362" i="95"/>
  <c r="H362" i="95" s="1"/>
  <c r="N362" i="95" s="1"/>
  <c r="O362" i="95" s="1"/>
  <c r="F371" i="95"/>
  <c r="H371" i="95" s="1"/>
  <c r="N371" i="95" s="1"/>
  <c r="O371" i="95" s="1"/>
  <c r="F375" i="95"/>
  <c r="H375" i="95" s="1"/>
  <c r="N375" i="95" s="1"/>
  <c r="F370" i="95"/>
  <c r="H370" i="95" s="1"/>
  <c r="N370" i="95" s="1"/>
  <c r="O370" i="95" s="1"/>
  <c r="F366" i="95"/>
  <c r="H366" i="95" s="1"/>
  <c r="N366" i="95" s="1"/>
  <c r="O366" i="95" s="1"/>
  <c r="F374" i="95"/>
  <c r="H374" i="95" s="1"/>
  <c r="N374" i="95" s="1"/>
  <c r="O374" i="95" s="1"/>
  <c r="F372" i="95"/>
  <c r="H372" i="95" s="1"/>
  <c r="N372" i="95" s="1"/>
  <c r="O372" i="95" s="1"/>
  <c r="F356" i="95"/>
  <c r="H356" i="95" s="1"/>
  <c r="N356" i="95" s="1"/>
  <c r="O356" i="95" s="1"/>
  <c r="F359" i="95"/>
  <c r="H359" i="95" s="1"/>
  <c r="N359" i="95" s="1"/>
  <c r="F367" i="95"/>
  <c r="H367" i="95" s="1"/>
  <c r="N367" i="95" s="1"/>
  <c r="F358" i="95"/>
  <c r="H358" i="95" s="1"/>
  <c r="N358" i="95" s="1"/>
  <c r="O358" i="95" s="1"/>
  <c r="K515" i="95"/>
  <c r="F486" i="95"/>
  <c r="H486" i="95" s="1"/>
  <c r="N486" i="95" s="1"/>
  <c r="O486" i="95" s="1"/>
  <c r="F487" i="95"/>
  <c r="H487" i="95" s="1"/>
  <c r="N487" i="95" s="1"/>
  <c r="O487" i="95" s="1"/>
  <c r="F483" i="95"/>
  <c r="H483" i="95" s="1"/>
  <c r="N483" i="95" s="1"/>
  <c r="O483" i="95" s="1"/>
  <c r="F485" i="95"/>
  <c r="H485" i="95" s="1"/>
  <c r="N485" i="95" s="1"/>
  <c r="O485" i="95" s="1"/>
  <c r="F488" i="95"/>
  <c r="H488" i="95" s="1"/>
  <c r="N488" i="95" s="1"/>
  <c r="F484" i="95"/>
  <c r="H484" i="95" s="1"/>
  <c r="N484" i="95" s="1"/>
  <c r="O484" i="95" s="1"/>
  <c r="F532" i="95"/>
  <c r="H532" i="95" s="1"/>
  <c r="N532" i="95" s="1"/>
  <c r="O532" i="95" s="1"/>
  <c r="K582" i="95"/>
  <c r="F550" i="95"/>
  <c r="H550" i="95" s="1"/>
  <c r="N550" i="95" s="1"/>
  <c r="O550" i="95" s="1"/>
  <c r="F552" i="95"/>
  <c r="H552" i="95" s="1"/>
  <c r="N552" i="95" s="1"/>
  <c r="O552" i="95" s="1"/>
  <c r="F537" i="95"/>
  <c r="H537" i="95" s="1"/>
  <c r="N537" i="95" s="1"/>
  <c r="F549" i="95"/>
  <c r="H549" i="95" s="1"/>
  <c r="N549" i="95" s="1"/>
  <c r="O549" i="95" s="1"/>
  <c r="F533" i="95"/>
  <c r="H533" i="95" s="1"/>
  <c r="N533" i="95" s="1"/>
  <c r="O533" i="95" s="1"/>
  <c r="F543" i="95"/>
  <c r="H543" i="95" s="1"/>
  <c r="N543" i="95" s="1"/>
  <c r="O543" i="95" s="1"/>
  <c r="F534" i="95"/>
  <c r="H534" i="95" s="1"/>
  <c r="N534" i="95" s="1"/>
  <c r="O534" i="95" s="1"/>
  <c r="F544" i="95"/>
  <c r="H544" i="95" s="1"/>
  <c r="N544" i="95" s="1"/>
  <c r="O544" i="95" s="1"/>
  <c r="F540" i="95"/>
  <c r="H540" i="95" s="1"/>
  <c r="N540" i="95" s="1"/>
  <c r="O540" i="95" s="1"/>
  <c r="F551" i="95"/>
  <c r="H551" i="95" s="1"/>
  <c r="N551" i="95" s="1"/>
  <c r="O551" i="95" s="1"/>
  <c r="F535" i="95"/>
  <c r="H535" i="95" s="1"/>
  <c r="N535" i="95" s="1"/>
  <c r="O535" i="95" s="1"/>
  <c r="F542" i="95"/>
  <c r="H542" i="95" s="1"/>
  <c r="N542" i="95" s="1"/>
  <c r="O542" i="95" s="1"/>
  <c r="F553" i="95"/>
  <c r="H553" i="95" s="1"/>
  <c r="N553" i="95" s="1"/>
  <c r="F545" i="95"/>
  <c r="H545" i="95" s="1"/>
  <c r="N545" i="95" s="1"/>
  <c r="F536" i="95"/>
  <c r="H536" i="95" s="1"/>
  <c r="N536" i="95" s="1"/>
  <c r="O536" i="95" s="1"/>
  <c r="F541" i="95"/>
  <c r="H541" i="95" s="1"/>
  <c r="N541" i="95" s="1"/>
  <c r="O541" i="95" s="1"/>
  <c r="F548" i="95"/>
  <c r="H548" i="95" s="1"/>
  <c r="N548" i="95" s="1"/>
  <c r="O548" i="95" s="1"/>
  <c r="J266" i="95"/>
  <c r="F234" i="95"/>
  <c r="H234" i="95" s="1"/>
  <c r="N234" i="95" s="1"/>
  <c r="O234" i="95" s="1"/>
  <c r="F231" i="95"/>
  <c r="H231" i="95" s="1"/>
  <c r="N231" i="95" s="1"/>
  <c r="O231" i="95" s="1"/>
  <c r="F235" i="95"/>
  <c r="H235" i="95" s="1"/>
  <c r="N235" i="95" s="1"/>
  <c r="O235" i="95" s="1"/>
  <c r="F232" i="95"/>
  <c r="H232" i="95" s="1"/>
  <c r="N232" i="95" s="1"/>
  <c r="O232" i="95" s="1"/>
  <c r="F238" i="95"/>
  <c r="H238" i="95" s="1"/>
  <c r="N238" i="95" s="1"/>
  <c r="O238" i="95" s="1"/>
  <c r="F236" i="95"/>
  <c r="H236" i="95" s="1"/>
  <c r="N236" i="95" s="1"/>
  <c r="O236" i="95" s="1"/>
  <c r="F239" i="95"/>
  <c r="H239" i="95" s="1"/>
  <c r="N239" i="95" s="1"/>
  <c r="O239" i="95" s="1"/>
  <c r="F230" i="95"/>
  <c r="H230" i="95" s="1"/>
  <c r="N230" i="95" s="1"/>
  <c r="O230" i="95" s="1"/>
  <c r="F237" i="95"/>
  <c r="H237" i="95" s="1"/>
  <c r="N237" i="95" s="1"/>
  <c r="O237" i="95" s="1"/>
  <c r="F240" i="95"/>
  <c r="H240" i="95" s="1"/>
  <c r="N240" i="95" s="1"/>
  <c r="F233" i="95"/>
  <c r="H233" i="95" s="1"/>
  <c r="N233" i="95" s="1"/>
  <c r="O233" i="95" s="1"/>
  <c r="F285" i="95"/>
  <c r="H285" i="95" s="1"/>
  <c r="N285" i="95" s="1"/>
  <c r="O285" i="95" s="1"/>
  <c r="F310" i="95"/>
  <c r="H310" i="95" s="1"/>
  <c r="N310" i="95" s="1"/>
  <c r="K337" i="95"/>
  <c r="F297" i="95"/>
  <c r="H297" i="95" s="1"/>
  <c r="N297" i="95" s="1"/>
  <c r="O297" i="95" s="1"/>
  <c r="F287" i="95"/>
  <c r="H287" i="95" s="1"/>
  <c r="N287" i="95" s="1"/>
  <c r="O287" i="95" s="1"/>
  <c r="F295" i="95"/>
  <c r="H295" i="95" s="1"/>
  <c r="N295" i="95" s="1"/>
  <c r="O295" i="95" s="1"/>
  <c r="F289" i="95"/>
  <c r="H289" i="95" s="1"/>
  <c r="N289" i="95" s="1"/>
  <c r="O289" i="95" s="1"/>
  <c r="F294" i="95"/>
  <c r="H294" i="95" s="1"/>
  <c r="N294" i="95" s="1"/>
  <c r="O294" i="95" s="1"/>
  <c r="F284" i="95"/>
  <c r="H284" i="95" s="1"/>
  <c r="N284" i="95" s="1"/>
  <c r="O284" i="95" s="1"/>
  <c r="F306" i="95"/>
  <c r="H306" i="95" s="1"/>
  <c r="N306" i="95" s="1"/>
  <c r="O306" i="95" s="1"/>
  <c r="F308" i="95"/>
  <c r="H308" i="95" s="1"/>
  <c r="N308" i="95" s="1"/>
  <c r="O308" i="95" s="1"/>
  <c r="F296" i="95"/>
  <c r="H296" i="95" s="1"/>
  <c r="N296" i="95" s="1"/>
  <c r="O296" i="95" s="1"/>
  <c r="F286" i="95"/>
  <c r="H286" i="95" s="1"/>
  <c r="N286" i="95" s="1"/>
  <c r="O286" i="95" s="1"/>
  <c r="F309" i="95"/>
  <c r="H309" i="95" s="1"/>
  <c r="N309" i="95" s="1"/>
  <c r="O309" i="95" s="1"/>
  <c r="F298" i="95"/>
  <c r="H298" i="95" s="1"/>
  <c r="N298" i="95" s="1"/>
  <c r="O298" i="95" s="1"/>
  <c r="F303" i="95"/>
  <c r="H303" i="95" s="1"/>
  <c r="N303" i="95" s="1"/>
  <c r="O303" i="95" s="1"/>
  <c r="F283" i="95"/>
  <c r="H283" i="95" s="1"/>
  <c r="N283" i="95" s="1"/>
  <c r="O283" i="95" s="1"/>
  <c r="F304" i="95"/>
  <c r="H304" i="95" s="1"/>
  <c r="N304" i="95" s="1"/>
  <c r="O304" i="95" s="1"/>
  <c r="F299" i="95"/>
  <c r="H299" i="95" s="1"/>
  <c r="N299" i="95" s="1"/>
  <c r="O299" i="95" s="1"/>
  <c r="F307" i="95"/>
  <c r="H307" i="95" s="1"/>
  <c r="N307" i="95" s="1"/>
  <c r="O307" i="95" s="1"/>
  <c r="F293" i="95"/>
  <c r="H293" i="95" s="1"/>
  <c r="N293" i="95" s="1"/>
  <c r="O293" i="95" s="1"/>
  <c r="F300" i="95"/>
  <c r="H300" i="95" s="1"/>
  <c r="N300" i="95" s="1"/>
  <c r="F288" i="95"/>
  <c r="H288" i="95" s="1"/>
  <c r="N288" i="95" s="1"/>
  <c r="O288" i="95" s="1"/>
  <c r="F305" i="95"/>
  <c r="H305" i="95" s="1"/>
  <c r="N305" i="95" s="1"/>
  <c r="O305" i="95" s="1"/>
  <c r="F290" i="95"/>
  <c r="H290" i="95" s="1"/>
  <c r="N290" i="95" s="1"/>
  <c r="Z97" i="51"/>
  <c r="Z169" i="51"/>
  <c r="Z98" i="51"/>
  <c r="Z120" i="51"/>
  <c r="Z121" i="51"/>
  <c r="Z99" i="51"/>
  <c r="Z101" i="51"/>
  <c r="Z96" i="51"/>
  <c r="I47" i="90"/>
  <c r="AL47" i="90" s="1"/>
  <c r="I35" i="90"/>
  <c r="Z100" i="51"/>
  <c r="D52" i="54"/>
  <c r="H17" i="54"/>
  <c r="D51" i="54"/>
  <c r="H10" i="49"/>
  <c r="H11" i="49" s="1"/>
  <c r="E101" i="1" l="1"/>
  <c r="G51" i="95"/>
  <c r="F22" i="93"/>
  <c r="J23" i="93" s="1"/>
  <c r="G214" i="95"/>
  <c r="G105" i="95"/>
  <c r="G160" i="95"/>
  <c r="O300" i="95"/>
  <c r="G21" i="94" s="1"/>
  <c r="I21" i="94" s="1"/>
  <c r="F21" i="94"/>
  <c r="H21" i="94" s="1"/>
  <c r="O240" i="95"/>
  <c r="G18" i="94" s="1"/>
  <c r="F18" i="94"/>
  <c r="H18" i="94" s="1"/>
  <c r="O375" i="95"/>
  <c r="G26" i="94" s="1"/>
  <c r="I26" i="94" s="1"/>
  <c r="F26" i="94"/>
  <c r="H26" i="94" s="1"/>
  <c r="O537" i="95"/>
  <c r="G34" i="94" s="1"/>
  <c r="I34" i="94" s="1"/>
  <c r="F34" i="94"/>
  <c r="H34" i="94" s="1"/>
  <c r="F35" i="94"/>
  <c r="H35" i="94" s="1"/>
  <c r="O545" i="95"/>
  <c r="G35" i="94" s="1"/>
  <c r="I35" i="94" s="1"/>
  <c r="O440" i="95"/>
  <c r="G30" i="94" s="1"/>
  <c r="I30" i="94" s="1"/>
  <c r="F30" i="94"/>
  <c r="H30" i="94" s="1"/>
  <c r="O432" i="95"/>
  <c r="G29" i="94" s="1"/>
  <c r="I29" i="94" s="1"/>
  <c r="F29" i="94"/>
  <c r="H29" i="94" s="1"/>
  <c r="O553" i="95"/>
  <c r="G36" i="94" s="1"/>
  <c r="I36" i="94" s="1"/>
  <c r="F36" i="94"/>
  <c r="H36" i="94" s="1"/>
  <c r="O359" i="95"/>
  <c r="G24" i="94" s="1"/>
  <c r="I24" i="94" s="1"/>
  <c r="F24" i="94"/>
  <c r="H24" i="94" s="1"/>
  <c r="F32" i="94"/>
  <c r="H32" i="94" s="1"/>
  <c r="O488" i="95"/>
  <c r="G32" i="94" s="1"/>
  <c r="I32" i="94" s="1"/>
  <c r="O424" i="95"/>
  <c r="G28" i="94" s="1"/>
  <c r="I28" i="94" s="1"/>
  <c r="F28" i="94"/>
  <c r="H28" i="94" s="1"/>
  <c r="O310" i="95"/>
  <c r="G22" i="94" s="1"/>
  <c r="I22" i="94" s="1"/>
  <c r="F22" i="94"/>
  <c r="H22" i="94" s="1"/>
  <c r="F20" i="94"/>
  <c r="H20" i="94" s="1"/>
  <c r="O290" i="95"/>
  <c r="G20" i="94" s="1"/>
  <c r="I20" i="94" s="1"/>
  <c r="F25" i="94"/>
  <c r="H25" i="94" s="1"/>
  <c r="O367" i="95"/>
  <c r="G25" i="94" s="1"/>
  <c r="I25" i="94" s="1"/>
  <c r="F45" i="94" l="1"/>
  <c r="L154" i="51"/>
  <c r="L114" i="51"/>
  <c r="L111" i="51"/>
  <c r="L27" i="51"/>
  <c r="L21" i="51"/>
  <c r="L28" i="51"/>
  <c r="L161" i="51"/>
  <c r="L108" i="51"/>
  <c r="L105" i="51"/>
  <c r="L87" i="51"/>
  <c r="L84" i="51"/>
  <c r="L158" i="51"/>
  <c r="L151" i="51"/>
  <c r="L148" i="51"/>
  <c r="L90" i="51"/>
  <c r="L81" i="51"/>
  <c r="L22" i="51"/>
  <c r="L145" i="51"/>
  <c r="L142" i="51"/>
  <c r="L162" i="51"/>
  <c r="L155" i="51"/>
  <c r="L112" i="51"/>
  <c r="L29" i="51"/>
  <c r="L23" i="51"/>
  <c r="L152" i="51"/>
  <c r="L109" i="51"/>
  <c r="L106" i="51"/>
  <c r="L91" i="51"/>
  <c r="L159" i="51"/>
  <c r="L149" i="51"/>
  <c r="L88" i="51"/>
  <c r="L85" i="51"/>
  <c r="L82" i="51"/>
  <c r="L30" i="51"/>
  <c r="L24" i="51"/>
  <c r="L163" i="51"/>
  <c r="L156" i="51"/>
  <c r="L146" i="51"/>
  <c r="L143" i="51"/>
  <c r="L140" i="51"/>
  <c r="L25" i="51"/>
  <c r="L113" i="51"/>
  <c r="L110" i="51"/>
  <c r="L31" i="51"/>
  <c r="L153" i="51"/>
  <c r="L107" i="51"/>
  <c r="L104" i="51"/>
  <c r="L26" i="51"/>
  <c r="L160" i="51"/>
  <c r="L157" i="51"/>
  <c r="L150" i="51"/>
  <c r="L147" i="51"/>
  <c r="L89" i="51"/>
  <c r="L86" i="51"/>
  <c r="L83" i="51"/>
  <c r="L80" i="51"/>
  <c r="L20" i="51"/>
  <c r="L115" i="51"/>
  <c r="L144" i="51"/>
  <c r="L141" i="51"/>
  <c r="K144" i="51"/>
  <c r="K141" i="51"/>
  <c r="K154" i="51"/>
  <c r="M154" i="51" s="1"/>
  <c r="K114" i="51"/>
  <c r="K111" i="51"/>
  <c r="K27" i="51"/>
  <c r="K21" i="51"/>
  <c r="K108" i="51"/>
  <c r="K161" i="51"/>
  <c r="K105" i="51"/>
  <c r="K158" i="51"/>
  <c r="K151" i="51"/>
  <c r="K148" i="51"/>
  <c r="K145" i="51"/>
  <c r="K142" i="51"/>
  <c r="K115" i="51"/>
  <c r="K162" i="51"/>
  <c r="K155" i="51"/>
  <c r="K112" i="51"/>
  <c r="K29" i="51"/>
  <c r="K23" i="51"/>
  <c r="K22" i="51"/>
  <c r="K152" i="51"/>
  <c r="M152" i="51" s="1"/>
  <c r="K109" i="51"/>
  <c r="K106" i="51"/>
  <c r="K91" i="51"/>
  <c r="K159" i="51"/>
  <c r="K149" i="51"/>
  <c r="K88" i="51"/>
  <c r="K85" i="51"/>
  <c r="K82" i="51"/>
  <c r="K30" i="51"/>
  <c r="K24" i="51"/>
  <c r="K163" i="51"/>
  <c r="K156" i="51"/>
  <c r="M156" i="51" s="1"/>
  <c r="S156" i="51" s="1"/>
  <c r="K146" i="51"/>
  <c r="K143" i="51"/>
  <c r="K140" i="51"/>
  <c r="K83" i="51"/>
  <c r="K84" i="51"/>
  <c r="K28" i="51"/>
  <c r="K113" i="51"/>
  <c r="K110" i="51"/>
  <c r="M110" i="51" s="1"/>
  <c r="S110" i="51" s="1"/>
  <c r="K31" i="51"/>
  <c r="K25" i="51"/>
  <c r="K20" i="51"/>
  <c r="K87" i="51"/>
  <c r="K153" i="51"/>
  <c r="K107" i="51"/>
  <c r="K104" i="51"/>
  <c r="K80" i="51"/>
  <c r="K81" i="51"/>
  <c r="K160" i="51"/>
  <c r="K157" i="51"/>
  <c r="K150" i="51"/>
  <c r="K147" i="51"/>
  <c r="K89" i="51"/>
  <c r="K86" i="51"/>
  <c r="K26" i="51"/>
  <c r="K90" i="51"/>
  <c r="L8" i="54"/>
  <c r="L16" i="51"/>
  <c r="L36" i="51"/>
  <c r="L44" i="51"/>
  <c r="L52" i="51"/>
  <c r="L60" i="51"/>
  <c r="L68" i="51"/>
  <c r="L76" i="51"/>
  <c r="L120" i="51"/>
  <c r="L92" i="51"/>
  <c r="L100" i="51"/>
  <c r="L132" i="51"/>
  <c r="L164" i="51"/>
  <c r="L172" i="51"/>
  <c r="L57" i="51"/>
  <c r="L65" i="51"/>
  <c r="L117" i="51"/>
  <c r="L125" i="51"/>
  <c r="L129" i="51"/>
  <c r="L34" i="51"/>
  <c r="L118" i="51"/>
  <c r="L138" i="51"/>
  <c r="L51" i="51"/>
  <c r="L67" i="51"/>
  <c r="L127" i="51"/>
  <c r="L139" i="51"/>
  <c r="L9" i="51"/>
  <c r="L17" i="51"/>
  <c r="L37" i="51"/>
  <c r="L45" i="51"/>
  <c r="L53" i="51"/>
  <c r="L61" i="51"/>
  <c r="L69" i="51"/>
  <c r="L77" i="51"/>
  <c r="L121" i="51"/>
  <c r="L93" i="51"/>
  <c r="L101" i="51"/>
  <c r="L133" i="51"/>
  <c r="L165" i="51"/>
  <c r="L173" i="51"/>
  <c r="L49" i="51"/>
  <c r="L169" i="51"/>
  <c r="L58" i="51"/>
  <c r="L126" i="51"/>
  <c r="L35" i="51"/>
  <c r="L99" i="51"/>
  <c r="L10" i="51"/>
  <c r="L18" i="51"/>
  <c r="L38" i="51"/>
  <c r="L46" i="51"/>
  <c r="L54" i="51"/>
  <c r="L62" i="51"/>
  <c r="L70" i="51"/>
  <c r="L78" i="51"/>
  <c r="L122" i="51"/>
  <c r="L94" i="51"/>
  <c r="L102" i="51"/>
  <c r="L134" i="51"/>
  <c r="L166" i="51"/>
  <c r="L174" i="51"/>
  <c r="L41" i="51"/>
  <c r="L137" i="51"/>
  <c r="L14" i="51"/>
  <c r="L130" i="51"/>
  <c r="L15" i="51"/>
  <c r="L119" i="51"/>
  <c r="L171" i="51"/>
  <c r="L11" i="51"/>
  <c r="L19" i="51"/>
  <c r="L39" i="51"/>
  <c r="L47" i="51"/>
  <c r="L55" i="51"/>
  <c r="L63" i="51"/>
  <c r="L71" i="51"/>
  <c r="L79" i="51"/>
  <c r="L123" i="51"/>
  <c r="L95" i="51"/>
  <c r="L103" i="51"/>
  <c r="L135" i="51"/>
  <c r="L167" i="51"/>
  <c r="L175" i="51"/>
  <c r="L13" i="51"/>
  <c r="L42" i="51"/>
  <c r="L66" i="51"/>
  <c r="L98" i="51"/>
  <c r="L59" i="51"/>
  <c r="L12" i="51"/>
  <c r="L32" i="51"/>
  <c r="L40" i="51"/>
  <c r="L48" i="51"/>
  <c r="L56" i="51"/>
  <c r="L64" i="51"/>
  <c r="L72" i="51"/>
  <c r="L116" i="51"/>
  <c r="L124" i="51"/>
  <c r="L96" i="51"/>
  <c r="L128" i="51"/>
  <c r="L136" i="51"/>
  <c r="L168" i="51"/>
  <c r="L8" i="51"/>
  <c r="L33" i="51"/>
  <c r="L73" i="51"/>
  <c r="L97" i="51"/>
  <c r="L50" i="51"/>
  <c r="L74" i="51"/>
  <c r="L170" i="51"/>
  <c r="L43" i="51"/>
  <c r="L75" i="51"/>
  <c r="L131" i="51"/>
  <c r="K9" i="51"/>
  <c r="K17" i="51"/>
  <c r="K37" i="51"/>
  <c r="K45" i="51"/>
  <c r="K53" i="51"/>
  <c r="K61" i="51"/>
  <c r="K69" i="51"/>
  <c r="K77" i="51"/>
  <c r="K121" i="51"/>
  <c r="K93" i="51"/>
  <c r="K101" i="51"/>
  <c r="K133" i="51"/>
  <c r="K165" i="51"/>
  <c r="K173" i="51"/>
  <c r="K14" i="51"/>
  <c r="K42" i="51"/>
  <c r="K66" i="51"/>
  <c r="K74" i="51"/>
  <c r="K35" i="51"/>
  <c r="K59" i="51"/>
  <c r="K119" i="51"/>
  <c r="K139" i="51"/>
  <c r="K36" i="51"/>
  <c r="K60" i="51"/>
  <c r="K120" i="51"/>
  <c r="K164" i="51"/>
  <c r="K10" i="51"/>
  <c r="K18" i="51"/>
  <c r="K38" i="51"/>
  <c r="K46" i="51"/>
  <c r="K54" i="51"/>
  <c r="K62" i="51"/>
  <c r="K70" i="51"/>
  <c r="K78" i="51"/>
  <c r="K122" i="51"/>
  <c r="K94" i="51"/>
  <c r="K102" i="51"/>
  <c r="K134" i="51"/>
  <c r="K166" i="51"/>
  <c r="K174" i="51"/>
  <c r="K58" i="51"/>
  <c r="K98" i="51"/>
  <c r="K170" i="51"/>
  <c r="K15" i="51"/>
  <c r="K67" i="51"/>
  <c r="K131" i="51"/>
  <c r="K44" i="51"/>
  <c r="K68" i="51"/>
  <c r="K100" i="51"/>
  <c r="K11" i="51"/>
  <c r="K19" i="51"/>
  <c r="K39" i="51"/>
  <c r="K47" i="51"/>
  <c r="K55" i="51"/>
  <c r="K63" i="51"/>
  <c r="K71" i="51"/>
  <c r="K79" i="51"/>
  <c r="K123" i="51"/>
  <c r="K95" i="51"/>
  <c r="K103" i="51"/>
  <c r="K135" i="51"/>
  <c r="K167" i="51"/>
  <c r="K175" i="51"/>
  <c r="K50" i="51"/>
  <c r="K126" i="51"/>
  <c r="K130" i="51"/>
  <c r="K43" i="51"/>
  <c r="K75" i="51"/>
  <c r="K99" i="51"/>
  <c r="K52" i="51"/>
  <c r="K92" i="51"/>
  <c r="K12" i="51"/>
  <c r="K32" i="51"/>
  <c r="K40" i="51"/>
  <c r="K48" i="51"/>
  <c r="K56" i="51"/>
  <c r="K64" i="51"/>
  <c r="K72" i="51"/>
  <c r="K116" i="51"/>
  <c r="K124" i="51"/>
  <c r="K96" i="51"/>
  <c r="K128" i="51"/>
  <c r="K136" i="51"/>
  <c r="K168" i="51"/>
  <c r="K8" i="51"/>
  <c r="K34" i="51"/>
  <c r="K118" i="51"/>
  <c r="K138" i="51"/>
  <c r="K16" i="51"/>
  <c r="K76" i="51"/>
  <c r="K172" i="51"/>
  <c r="K13" i="51"/>
  <c r="K33" i="51"/>
  <c r="K41" i="51"/>
  <c r="K49" i="51"/>
  <c r="K57" i="51"/>
  <c r="K65" i="51"/>
  <c r="K73" i="51"/>
  <c r="K117" i="51"/>
  <c r="K125" i="51"/>
  <c r="K97" i="51"/>
  <c r="K129" i="51"/>
  <c r="K137" i="51"/>
  <c r="K169" i="51"/>
  <c r="K51" i="51"/>
  <c r="K127" i="51"/>
  <c r="K171" i="51"/>
  <c r="K132" i="51"/>
  <c r="M10" i="50"/>
  <c r="M18" i="50"/>
  <c r="N18" i="50" s="1"/>
  <c r="S18" i="50" s="1"/>
  <c r="M11" i="50"/>
  <c r="N11" i="50" s="1"/>
  <c r="S11" i="50" s="1"/>
  <c r="T11" i="50" s="1"/>
  <c r="AI64" i="34" s="1"/>
  <c r="M19" i="50"/>
  <c r="N19" i="50" s="1"/>
  <c r="S19" i="50" s="1"/>
  <c r="M12" i="50"/>
  <c r="N12" i="50" s="1"/>
  <c r="S12" i="50" s="1"/>
  <c r="T12" i="50" s="1"/>
  <c r="AI65" i="34" s="1"/>
  <c r="M20" i="50"/>
  <c r="N20" i="50" s="1"/>
  <c r="S20" i="50" s="1"/>
  <c r="T20" i="50" s="1"/>
  <c r="AI73" i="34" s="1"/>
  <c r="M9" i="50"/>
  <c r="N9" i="50" s="1"/>
  <c r="S9" i="50" s="1"/>
  <c r="M13" i="50"/>
  <c r="N13" i="50" s="1"/>
  <c r="S13" i="50" s="1"/>
  <c r="M21" i="50"/>
  <c r="N21" i="50" s="1"/>
  <c r="S21" i="50" s="1"/>
  <c r="M16" i="50"/>
  <c r="N16" i="50" s="1"/>
  <c r="S16" i="50" s="1"/>
  <c r="M14" i="50"/>
  <c r="N14" i="50" s="1"/>
  <c r="S14" i="50" s="1"/>
  <c r="C8" i="30" s="1"/>
  <c r="C9" i="30" s="1"/>
  <c r="M22" i="50"/>
  <c r="N22" i="50" s="1"/>
  <c r="S22" i="50" s="1"/>
  <c r="T22" i="50" s="1"/>
  <c r="AI75" i="34" s="1"/>
  <c r="M15" i="50"/>
  <c r="N15" i="50" s="1"/>
  <c r="S15" i="50" s="1"/>
  <c r="T15" i="50" s="1"/>
  <c r="AI68" i="34" s="1"/>
  <c r="M17" i="50"/>
  <c r="N17" i="50" s="1"/>
  <c r="S17" i="50" s="1"/>
  <c r="T17" i="50" s="1"/>
  <c r="AI70" i="34" s="1"/>
  <c r="F122" i="95"/>
  <c r="H122" i="95" s="1"/>
  <c r="N122" i="95" s="1"/>
  <c r="O122" i="95" s="1"/>
  <c r="F128" i="95"/>
  <c r="H128" i="95" s="1"/>
  <c r="N128" i="95" s="1"/>
  <c r="O128" i="95" s="1"/>
  <c r="F129" i="95"/>
  <c r="H129" i="95" s="1"/>
  <c r="N129" i="95" s="1"/>
  <c r="O129" i="95" s="1"/>
  <c r="F131" i="95"/>
  <c r="H131" i="95" s="1"/>
  <c r="N131" i="95" s="1"/>
  <c r="O131" i="95" s="1"/>
  <c r="F125" i="95"/>
  <c r="H125" i="95" s="1"/>
  <c r="N125" i="95" s="1"/>
  <c r="O125" i="95" s="1"/>
  <c r="F124" i="95"/>
  <c r="H124" i="95" s="1"/>
  <c r="N124" i="95" s="1"/>
  <c r="O124" i="95" s="1"/>
  <c r="F134" i="95"/>
  <c r="H134" i="95" s="1"/>
  <c r="N134" i="95" s="1"/>
  <c r="F132" i="95"/>
  <c r="H132" i="95" s="1"/>
  <c r="N132" i="95" s="1"/>
  <c r="O132" i="95" s="1"/>
  <c r="F133" i="95"/>
  <c r="H133" i="95" s="1"/>
  <c r="N133" i="95" s="1"/>
  <c r="O133" i="95" s="1"/>
  <c r="F123" i="95"/>
  <c r="H123" i="95" s="1"/>
  <c r="N123" i="95" s="1"/>
  <c r="O123" i="95" s="1"/>
  <c r="F126" i="95"/>
  <c r="H126" i="95" s="1"/>
  <c r="N126" i="95" s="1"/>
  <c r="O126" i="95" s="1"/>
  <c r="J160" i="95"/>
  <c r="F130" i="95"/>
  <c r="H130" i="95" s="1"/>
  <c r="N130" i="95" s="1"/>
  <c r="O130" i="95" s="1"/>
  <c r="F121" i="95"/>
  <c r="H121" i="95" s="1"/>
  <c r="N121" i="95" s="1"/>
  <c r="O121" i="95" s="1"/>
  <c r="F127" i="95"/>
  <c r="H127" i="95" s="1"/>
  <c r="N127" i="95" s="1"/>
  <c r="O127" i="95" s="1"/>
  <c r="J105" i="95"/>
  <c r="F75" i="95"/>
  <c r="H75" i="95" s="1"/>
  <c r="N75" i="95" s="1"/>
  <c r="O75" i="95" s="1"/>
  <c r="F74" i="95"/>
  <c r="H74" i="95" s="1"/>
  <c r="N74" i="95" s="1"/>
  <c r="O74" i="95" s="1"/>
  <c r="F71" i="95"/>
  <c r="H71" i="95" s="1"/>
  <c r="N71" i="95" s="1"/>
  <c r="O71" i="95" s="1"/>
  <c r="F78" i="95"/>
  <c r="H78" i="95" s="1"/>
  <c r="N78" i="95" s="1"/>
  <c r="O78" i="95" s="1"/>
  <c r="F67" i="95"/>
  <c r="H67" i="95" s="1"/>
  <c r="N67" i="95" s="1"/>
  <c r="O67" i="95" s="1"/>
  <c r="F66" i="95"/>
  <c r="H66" i="95" s="1"/>
  <c r="N66" i="95" s="1"/>
  <c r="O66" i="95" s="1"/>
  <c r="F73" i="95"/>
  <c r="H73" i="95" s="1"/>
  <c r="N73" i="95" s="1"/>
  <c r="O73" i="95" s="1"/>
  <c r="F70" i="95"/>
  <c r="H70" i="95" s="1"/>
  <c r="N70" i="95" s="1"/>
  <c r="O70" i="95" s="1"/>
  <c r="F76" i="95"/>
  <c r="H76" i="95" s="1"/>
  <c r="N76" i="95" s="1"/>
  <c r="O76" i="95" s="1"/>
  <c r="F68" i="95"/>
  <c r="H68" i="95" s="1"/>
  <c r="N68" i="95" s="1"/>
  <c r="O68" i="95" s="1"/>
  <c r="F69" i="95"/>
  <c r="H69" i="95" s="1"/>
  <c r="N69" i="95" s="1"/>
  <c r="O69" i="95" s="1"/>
  <c r="F72" i="95"/>
  <c r="H72" i="95" s="1"/>
  <c r="N72" i="95" s="1"/>
  <c r="O72" i="95" s="1"/>
  <c r="F77" i="95"/>
  <c r="H77" i="95" s="1"/>
  <c r="N77" i="95" s="1"/>
  <c r="O77" i="95" s="1"/>
  <c r="F79" i="95"/>
  <c r="H79" i="95" s="1"/>
  <c r="N79" i="95" s="1"/>
  <c r="F178" i="95"/>
  <c r="H178" i="95" s="1"/>
  <c r="N178" i="95" s="1"/>
  <c r="O178" i="95" s="1"/>
  <c r="F184" i="95"/>
  <c r="H184" i="95" s="1"/>
  <c r="N184" i="95" s="1"/>
  <c r="O184" i="95" s="1"/>
  <c r="F180" i="95"/>
  <c r="H180" i="95" s="1"/>
  <c r="N180" i="95" s="1"/>
  <c r="O180" i="95" s="1"/>
  <c r="F175" i="95"/>
  <c r="H175" i="95" s="1"/>
  <c r="N175" i="95" s="1"/>
  <c r="O175" i="95" s="1"/>
  <c r="F176" i="95"/>
  <c r="H176" i="95" s="1"/>
  <c r="N176" i="95" s="1"/>
  <c r="O176" i="95" s="1"/>
  <c r="F188" i="95"/>
  <c r="H188" i="95" s="1"/>
  <c r="N188" i="95" s="1"/>
  <c r="F179" i="95"/>
  <c r="H179" i="95" s="1"/>
  <c r="N179" i="95" s="1"/>
  <c r="O179" i="95" s="1"/>
  <c r="J214" i="95"/>
  <c r="F181" i="95"/>
  <c r="H181" i="95" s="1"/>
  <c r="N181" i="95" s="1"/>
  <c r="O181" i="95" s="1"/>
  <c r="F177" i="95"/>
  <c r="H177" i="95" s="1"/>
  <c r="N177" i="95" s="1"/>
  <c r="O177" i="95" s="1"/>
  <c r="F186" i="95"/>
  <c r="H186" i="95" s="1"/>
  <c r="N186" i="95" s="1"/>
  <c r="O186" i="95" s="1"/>
  <c r="F182" i="95"/>
  <c r="H182" i="95" s="1"/>
  <c r="N182" i="95" s="1"/>
  <c r="O182" i="95" s="1"/>
  <c r="F185" i="95"/>
  <c r="H185" i="95" s="1"/>
  <c r="N185" i="95" s="1"/>
  <c r="O185" i="95" s="1"/>
  <c r="F183" i="95"/>
  <c r="H183" i="95" s="1"/>
  <c r="N183" i="95" s="1"/>
  <c r="O183" i="95" s="1"/>
  <c r="F187" i="95"/>
  <c r="H187" i="95" s="1"/>
  <c r="N187" i="95" s="1"/>
  <c r="O187" i="95" s="1"/>
  <c r="F19" i="95"/>
  <c r="H19" i="95" s="1"/>
  <c r="N19" i="95" s="1"/>
  <c r="O19" i="95" s="1"/>
  <c r="F17" i="95"/>
  <c r="H17" i="95" s="1"/>
  <c r="N17" i="95" s="1"/>
  <c r="O17" i="95" s="1"/>
  <c r="F16" i="95"/>
  <c r="H16" i="95" s="1"/>
  <c r="N16" i="95" s="1"/>
  <c r="O16" i="95" s="1"/>
  <c r="F14" i="95"/>
  <c r="H14" i="95" s="1"/>
  <c r="N14" i="95" s="1"/>
  <c r="O14" i="95" s="1"/>
  <c r="F15" i="95"/>
  <c r="H15" i="95" s="1"/>
  <c r="N15" i="95" s="1"/>
  <c r="O15" i="95" s="1"/>
  <c r="F20" i="95"/>
  <c r="H20" i="95" s="1"/>
  <c r="N20" i="95" s="1"/>
  <c r="O20" i="95" s="1"/>
  <c r="F18" i="95"/>
  <c r="H18" i="95" s="1"/>
  <c r="N18" i="95" s="1"/>
  <c r="O18" i="95" s="1"/>
  <c r="J51" i="95"/>
  <c r="F23" i="95"/>
  <c r="H23" i="95" s="1"/>
  <c r="N23" i="95" s="1"/>
  <c r="O23" i="95" s="1"/>
  <c r="F21" i="95"/>
  <c r="H21" i="95" s="1"/>
  <c r="N21" i="95" s="1"/>
  <c r="O21" i="95" s="1"/>
  <c r="F12" i="95"/>
  <c r="H12" i="95" s="1"/>
  <c r="N12" i="95" s="1"/>
  <c r="O12" i="95" s="1"/>
  <c r="F24" i="95"/>
  <c r="H24" i="95" s="1"/>
  <c r="N24" i="95" s="1"/>
  <c r="O24" i="95" s="1"/>
  <c r="F22" i="95"/>
  <c r="H22" i="95" s="1"/>
  <c r="N22" i="95" s="1"/>
  <c r="O22" i="95" s="1"/>
  <c r="F13" i="95"/>
  <c r="H13" i="95" s="1"/>
  <c r="N13" i="95" s="1"/>
  <c r="O13" i="95" s="1"/>
  <c r="F25" i="95"/>
  <c r="H25" i="95" s="1"/>
  <c r="N25" i="95" s="1"/>
  <c r="I18" i="94"/>
  <c r="G45" i="94"/>
  <c r="N13" i="54" s="1"/>
  <c r="N12" i="54"/>
  <c r="M87" i="51" l="1"/>
  <c r="S87" i="51" s="1"/>
  <c r="M150" i="51"/>
  <c r="M160" i="51"/>
  <c r="S160" i="51" s="1"/>
  <c r="M22" i="51"/>
  <c r="S22" i="51" s="1"/>
  <c r="M81" i="51"/>
  <c r="S81" i="51" s="1"/>
  <c r="M147" i="51"/>
  <c r="S147" i="51" s="1"/>
  <c r="M89" i="51"/>
  <c r="S89" i="51" s="1"/>
  <c r="M90" i="51"/>
  <c r="Z90" i="51" s="1"/>
  <c r="M146" i="51"/>
  <c r="S146" i="51" s="1"/>
  <c r="M109" i="51"/>
  <c r="S109" i="51" s="1"/>
  <c r="M151" i="51"/>
  <c r="S151" i="51" s="1"/>
  <c r="M157" i="51"/>
  <c r="S157" i="51" s="1"/>
  <c r="M114" i="51"/>
  <c r="Z114" i="51" s="1"/>
  <c r="M31" i="51"/>
  <c r="S31" i="51" s="1"/>
  <c r="M86" i="51"/>
  <c r="S86" i="51" s="1"/>
  <c r="M113" i="51"/>
  <c r="S113" i="51" s="1"/>
  <c r="M28" i="51"/>
  <c r="S28" i="51" s="1"/>
  <c r="M30" i="51"/>
  <c r="Z30" i="51" s="1"/>
  <c r="M82" i="51"/>
  <c r="S82" i="51" s="1"/>
  <c r="M112" i="51"/>
  <c r="S112" i="51" s="1"/>
  <c r="M91" i="51"/>
  <c r="S91" i="51" s="1"/>
  <c r="M111" i="51"/>
  <c r="S111" i="51" s="1"/>
  <c r="M21" i="51"/>
  <c r="Z21" i="51" s="1"/>
  <c r="M27" i="51"/>
  <c r="S27" i="51" s="1"/>
  <c r="M108" i="51"/>
  <c r="S108" i="51" s="1"/>
  <c r="M140" i="51"/>
  <c r="S140" i="51" s="1"/>
  <c r="M85" i="51"/>
  <c r="S85" i="51" s="1"/>
  <c r="M88" i="51"/>
  <c r="S88" i="51" s="1"/>
  <c r="M25" i="51"/>
  <c r="S25" i="51" s="1"/>
  <c r="M26" i="51"/>
  <c r="S26" i="51" s="1"/>
  <c r="M158" i="51"/>
  <c r="S158" i="51" s="1"/>
  <c r="M163" i="51"/>
  <c r="S163" i="51" s="1"/>
  <c r="M23" i="51"/>
  <c r="S23" i="51" s="1"/>
  <c r="M24" i="51"/>
  <c r="S24" i="51" s="1"/>
  <c r="M161" i="51"/>
  <c r="AB161" i="51" s="1"/>
  <c r="M29" i="51"/>
  <c r="Z29" i="51" s="1"/>
  <c r="M84" i="51"/>
  <c r="S84" i="51" s="1"/>
  <c r="M149" i="51"/>
  <c r="AB149" i="51" s="1"/>
  <c r="M159" i="51"/>
  <c r="S159" i="51" s="1"/>
  <c r="M153" i="51"/>
  <c r="S152" i="51"/>
  <c r="AB152" i="51"/>
  <c r="Z152" i="51"/>
  <c r="M20" i="51"/>
  <c r="M105" i="51"/>
  <c r="S150" i="51"/>
  <c r="Z150" i="51"/>
  <c r="AB150" i="51"/>
  <c r="M155" i="51"/>
  <c r="M162" i="51"/>
  <c r="M115" i="51"/>
  <c r="M80" i="51"/>
  <c r="M83" i="51"/>
  <c r="S83" i="51" s="1"/>
  <c r="M142" i="51"/>
  <c r="S154" i="51"/>
  <c r="AB154" i="51"/>
  <c r="Z154" i="51"/>
  <c r="M104" i="51"/>
  <c r="M145" i="51"/>
  <c r="S145" i="51" s="1"/>
  <c r="M141" i="51"/>
  <c r="M107" i="51"/>
  <c r="S107" i="51" s="1"/>
  <c r="M143" i="51"/>
  <c r="M106" i="51"/>
  <c r="S106" i="51" s="1"/>
  <c r="M148" i="51"/>
  <c r="M144" i="51"/>
  <c r="S144" i="51" s="1"/>
  <c r="T13" i="50"/>
  <c r="AI66" i="34" s="1"/>
  <c r="T9" i="50"/>
  <c r="M46" i="51"/>
  <c r="Z46" i="51" s="1"/>
  <c r="M16" i="51"/>
  <c r="S16" i="51" s="1"/>
  <c r="M92" i="51"/>
  <c r="AB92" i="51" s="1"/>
  <c r="N10" i="50"/>
  <c r="M8" i="51"/>
  <c r="Z8" i="51" s="1"/>
  <c r="M129" i="51"/>
  <c r="S129" i="51" s="1"/>
  <c r="T19" i="50"/>
  <c r="AI72" i="34" s="1"/>
  <c r="F8" i="30"/>
  <c r="F9" i="30" s="1"/>
  <c r="T18" i="50"/>
  <c r="AI71" i="34" s="1"/>
  <c r="E8" i="30"/>
  <c r="E9" i="30" s="1"/>
  <c r="T16" i="50"/>
  <c r="AI69" i="34" s="1"/>
  <c r="D8" i="30"/>
  <c r="D9" i="30" s="1"/>
  <c r="T21" i="50"/>
  <c r="AI74" i="34" s="1"/>
  <c r="G8" i="30"/>
  <c r="G9" i="30" s="1"/>
  <c r="M171" i="51"/>
  <c r="S171" i="51" s="1"/>
  <c r="M49" i="51"/>
  <c r="Z49" i="51" s="1"/>
  <c r="M136" i="51"/>
  <c r="AB136" i="51" s="1"/>
  <c r="M95" i="51"/>
  <c r="M44" i="51"/>
  <c r="Z44" i="51" s="1"/>
  <c r="M101" i="51"/>
  <c r="S101" i="51" s="1"/>
  <c r="M127" i="51"/>
  <c r="AB127" i="51" s="1"/>
  <c r="M41" i="51"/>
  <c r="M128" i="51"/>
  <c r="M52" i="51"/>
  <c r="Z52" i="51" s="1"/>
  <c r="M123" i="51"/>
  <c r="M131" i="51"/>
  <c r="S131" i="51" s="1"/>
  <c r="M78" i="51"/>
  <c r="S78" i="51" s="1"/>
  <c r="M139" i="51"/>
  <c r="Z139" i="51" s="1"/>
  <c r="M33" i="51"/>
  <c r="M79" i="51"/>
  <c r="S79" i="51" s="1"/>
  <c r="M70" i="51"/>
  <c r="M119" i="51"/>
  <c r="M71" i="51"/>
  <c r="M172" i="51"/>
  <c r="M169" i="51"/>
  <c r="S169" i="51" s="1"/>
  <c r="M15" i="51"/>
  <c r="Z15" i="51" s="1"/>
  <c r="M62" i="51"/>
  <c r="S62" i="51" s="1"/>
  <c r="M98" i="51"/>
  <c r="S98" i="51" s="1"/>
  <c r="M63" i="51"/>
  <c r="S63" i="51" s="1"/>
  <c r="M38" i="51"/>
  <c r="S38" i="51" s="1"/>
  <c r="M164" i="51"/>
  <c r="AB164" i="51" s="1"/>
  <c r="M9" i="51"/>
  <c r="M126" i="51"/>
  <c r="M58" i="51"/>
  <c r="S58" i="51" s="1"/>
  <c r="M64" i="51"/>
  <c r="S64" i="51" s="1"/>
  <c r="M43" i="51"/>
  <c r="S43" i="51" s="1"/>
  <c r="M170" i="51"/>
  <c r="S170" i="51" s="1"/>
  <c r="M35" i="51"/>
  <c r="M69" i="51"/>
  <c r="S69" i="51" s="1"/>
  <c r="M72" i="51"/>
  <c r="M74" i="51"/>
  <c r="M93" i="51"/>
  <c r="Z93" i="51" s="1"/>
  <c r="M66" i="51"/>
  <c r="Z66" i="51" s="1"/>
  <c r="M117" i="51"/>
  <c r="S117" i="51" s="1"/>
  <c r="M48" i="51"/>
  <c r="S48" i="51" s="1"/>
  <c r="M175" i="51"/>
  <c r="M19" i="51"/>
  <c r="S19" i="51" s="1"/>
  <c r="M37" i="51"/>
  <c r="M121" i="51"/>
  <c r="S121" i="51" s="1"/>
  <c r="M13" i="51"/>
  <c r="M75" i="51"/>
  <c r="M77" i="51"/>
  <c r="M174" i="51"/>
  <c r="M73" i="51"/>
  <c r="M34" i="51"/>
  <c r="M40" i="51"/>
  <c r="Z40" i="51" s="1"/>
  <c r="M11" i="51"/>
  <c r="M134" i="51"/>
  <c r="S134" i="51" s="1"/>
  <c r="M17" i="51"/>
  <c r="M100" i="51"/>
  <c r="S100" i="51" s="1"/>
  <c r="M102" i="51"/>
  <c r="S102" i="51" s="1"/>
  <c r="M120" i="51"/>
  <c r="S120" i="51" s="1"/>
  <c r="M125" i="51"/>
  <c r="M118" i="51"/>
  <c r="S118" i="51" s="1"/>
  <c r="M132" i="51"/>
  <c r="AB132" i="51" s="1"/>
  <c r="L9" i="54"/>
  <c r="L10" i="54"/>
  <c r="L11" i="54" s="1"/>
  <c r="M122" i="51"/>
  <c r="M10" i="51"/>
  <c r="Z10" i="51" s="1"/>
  <c r="AB171" i="51"/>
  <c r="Z171" i="51"/>
  <c r="M51" i="51"/>
  <c r="M32" i="51"/>
  <c r="M57" i="51"/>
  <c r="M138" i="51"/>
  <c r="M124" i="51"/>
  <c r="M12" i="51"/>
  <c r="M50" i="51"/>
  <c r="M68" i="51"/>
  <c r="Z62" i="51"/>
  <c r="M60" i="51"/>
  <c r="M42" i="51"/>
  <c r="M65" i="51"/>
  <c r="M96" i="51"/>
  <c r="S96" i="51" s="1"/>
  <c r="T14" i="50"/>
  <c r="AI67" i="34" s="1"/>
  <c r="AE15" i="34"/>
  <c r="AE17" i="34" s="1"/>
  <c r="M137" i="51"/>
  <c r="M116" i="51"/>
  <c r="M166" i="51"/>
  <c r="M54" i="51"/>
  <c r="M36" i="51"/>
  <c r="M14" i="51"/>
  <c r="M76" i="51"/>
  <c r="Z136" i="51"/>
  <c r="M167" i="51"/>
  <c r="AB131" i="51"/>
  <c r="Z131" i="51"/>
  <c r="M173" i="51"/>
  <c r="M97" i="51"/>
  <c r="S97" i="51" s="1"/>
  <c r="M99" i="51"/>
  <c r="S99" i="51" s="1"/>
  <c r="M135" i="51"/>
  <c r="M47" i="51"/>
  <c r="M67" i="51"/>
  <c r="M165" i="51"/>
  <c r="M53" i="51"/>
  <c r="M130" i="51"/>
  <c r="M55" i="51"/>
  <c r="M61" i="51"/>
  <c r="M168" i="51"/>
  <c r="M56" i="51"/>
  <c r="M103" i="51"/>
  <c r="M39" i="51"/>
  <c r="M94" i="51"/>
  <c r="M18" i="51"/>
  <c r="M59" i="51"/>
  <c r="M133" i="51"/>
  <c r="M45" i="51"/>
  <c r="F14" i="94"/>
  <c r="O134" i="95"/>
  <c r="G14" i="94" s="1"/>
  <c r="F12" i="94"/>
  <c r="O79" i="95"/>
  <c r="G12" i="94" s="1"/>
  <c r="O25" i="95"/>
  <c r="G10" i="94" s="1"/>
  <c r="F10" i="94"/>
  <c r="H10" i="94" s="1"/>
  <c r="O188" i="95"/>
  <c r="G16" i="94" s="1"/>
  <c r="F16" i="94"/>
  <c r="F46" i="94"/>
  <c r="M12" i="54" s="1"/>
  <c r="F44" i="94"/>
  <c r="K12" i="54" s="1"/>
  <c r="G46" i="94"/>
  <c r="M13" i="54" s="1"/>
  <c r="G44" i="94"/>
  <c r="K13" i="54" s="1"/>
  <c r="I45" i="94"/>
  <c r="H45" i="94"/>
  <c r="Z147" i="51" l="1"/>
  <c r="Z28" i="51"/>
  <c r="AB147" i="51"/>
  <c r="AB81" i="51"/>
  <c r="Z81" i="51"/>
  <c r="Z22" i="51"/>
  <c r="S30" i="51"/>
  <c r="S90" i="51"/>
  <c r="AB91" i="51"/>
  <c r="Z91" i="51"/>
  <c r="S114" i="51"/>
  <c r="Z31" i="51"/>
  <c r="AB90" i="51"/>
  <c r="AB114" i="51"/>
  <c r="Z151" i="51"/>
  <c r="AB151" i="51"/>
  <c r="S37" i="51"/>
  <c r="Z37" i="51"/>
  <c r="S21" i="51"/>
  <c r="N8" i="54"/>
  <c r="I10" i="94"/>
  <c r="Z140" i="51"/>
  <c r="Z23" i="51"/>
  <c r="Z27" i="51"/>
  <c r="AB140" i="51"/>
  <c r="Z24" i="51"/>
  <c r="Z26" i="51"/>
  <c r="Z163" i="51"/>
  <c r="Z16" i="51"/>
  <c r="S149" i="51"/>
  <c r="Z25" i="51"/>
  <c r="S29" i="51"/>
  <c r="Z149" i="51"/>
  <c r="AB163" i="51"/>
  <c r="S161" i="51"/>
  <c r="Z161" i="51"/>
  <c r="S162" i="51"/>
  <c r="AB162" i="51"/>
  <c r="Z162" i="51"/>
  <c r="S80" i="51"/>
  <c r="AB80" i="51"/>
  <c r="Z80" i="51"/>
  <c r="S115" i="51"/>
  <c r="Z115" i="51"/>
  <c r="AB115" i="51"/>
  <c r="S155" i="51"/>
  <c r="Z155" i="51"/>
  <c r="AB155" i="51"/>
  <c r="S105" i="51"/>
  <c r="AB105" i="51"/>
  <c r="Z105" i="51"/>
  <c r="S148" i="51"/>
  <c r="Z148" i="51"/>
  <c r="AB148" i="51"/>
  <c r="S104" i="51"/>
  <c r="Z104" i="51"/>
  <c r="AB104" i="51"/>
  <c r="S153" i="51"/>
  <c r="Z153" i="51"/>
  <c r="AB153" i="51"/>
  <c r="S143" i="51"/>
  <c r="Z143" i="51"/>
  <c r="AB143" i="51"/>
  <c r="S92" i="51"/>
  <c r="Z92" i="51"/>
  <c r="S46" i="51"/>
  <c r="S141" i="51"/>
  <c r="AB141" i="51"/>
  <c r="Z141" i="51"/>
  <c r="S142" i="51"/>
  <c r="Z142" i="51"/>
  <c r="AB142" i="51"/>
  <c r="S20" i="51"/>
  <c r="Z20" i="51"/>
  <c r="AI62" i="34"/>
  <c r="S73" i="51"/>
  <c r="AB73" i="51"/>
  <c r="Z73" i="51"/>
  <c r="S74" i="51"/>
  <c r="AB74" i="51"/>
  <c r="Z74" i="51"/>
  <c r="S72" i="51"/>
  <c r="AB72" i="51"/>
  <c r="Z72" i="51"/>
  <c r="S75" i="51"/>
  <c r="AB75" i="51"/>
  <c r="Z75" i="51"/>
  <c r="S76" i="51"/>
  <c r="AB76" i="51"/>
  <c r="Z76" i="51"/>
  <c r="S167" i="51"/>
  <c r="Z167" i="51"/>
  <c r="AB167" i="51"/>
  <c r="S168" i="51"/>
  <c r="AB168" i="51"/>
  <c r="Z168" i="51"/>
  <c r="S139" i="51"/>
  <c r="AB129" i="51"/>
  <c r="S95" i="51"/>
  <c r="AB95" i="51"/>
  <c r="Z95" i="51"/>
  <c r="Z78" i="51"/>
  <c r="S10" i="50"/>
  <c r="S13" i="51"/>
  <c r="Z13" i="51"/>
  <c r="S8" i="51"/>
  <c r="S125" i="51"/>
  <c r="AB125" i="51"/>
  <c r="Z125" i="51"/>
  <c r="S123" i="51"/>
  <c r="AB123" i="51"/>
  <c r="Z123" i="51"/>
  <c r="S124" i="51"/>
  <c r="AB124" i="51"/>
  <c r="Z124" i="51"/>
  <c r="S33" i="51"/>
  <c r="Z129" i="51"/>
  <c r="S119" i="51"/>
  <c r="AB119" i="51"/>
  <c r="Z119" i="51"/>
  <c r="S12" i="51"/>
  <c r="Z12" i="51"/>
  <c r="S122" i="51"/>
  <c r="AB122" i="51"/>
  <c r="Z122" i="51"/>
  <c r="AB78" i="51"/>
  <c r="S49" i="51"/>
  <c r="S44" i="51"/>
  <c r="AB139" i="51"/>
  <c r="AB79" i="51"/>
  <c r="Z41" i="51"/>
  <c r="Z79" i="51"/>
  <c r="S15" i="51"/>
  <c r="S172" i="51"/>
  <c r="Z127" i="51"/>
  <c r="S127" i="51"/>
  <c r="Z33" i="51"/>
  <c r="S136" i="51"/>
  <c r="AB174" i="51"/>
  <c r="Z63" i="51"/>
  <c r="S41" i="51"/>
  <c r="Z70" i="51"/>
  <c r="S71" i="51"/>
  <c r="AB70" i="51"/>
  <c r="Z128" i="51"/>
  <c r="S70" i="51"/>
  <c r="Z71" i="51"/>
  <c r="AB128" i="51"/>
  <c r="AB71" i="51"/>
  <c r="AB172" i="51"/>
  <c r="S128" i="51"/>
  <c r="S52" i="51"/>
  <c r="Z48" i="51"/>
  <c r="Z38" i="51"/>
  <c r="Z126" i="51"/>
  <c r="Z58" i="51"/>
  <c r="S126" i="51"/>
  <c r="Z164" i="51"/>
  <c r="AB126" i="51"/>
  <c r="S164" i="51"/>
  <c r="Z170" i="51"/>
  <c r="Z118" i="51"/>
  <c r="AB175" i="51"/>
  <c r="S40" i="51"/>
  <c r="AB170" i="51"/>
  <c r="S35" i="51"/>
  <c r="AB134" i="51"/>
  <c r="S9" i="51"/>
  <c r="Z9" i="51"/>
  <c r="S17" i="51"/>
  <c r="Z11" i="51"/>
  <c r="Z17" i="51"/>
  <c r="Z77" i="51"/>
  <c r="S132" i="51"/>
  <c r="S77" i="51"/>
  <c r="Z43" i="51"/>
  <c r="AB77" i="51"/>
  <c r="AB93" i="51"/>
  <c r="Z64" i="51"/>
  <c r="Z102" i="51"/>
  <c r="H16" i="94"/>
  <c r="M11" i="54"/>
  <c r="AB102" i="51"/>
  <c r="Z19" i="51"/>
  <c r="I16" i="94"/>
  <c r="N11" i="54"/>
  <c r="I14" i="94"/>
  <c r="N9" i="54"/>
  <c r="AB117" i="51"/>
  <c r="H14" i="94"/>
  <c r="M9" i="54"/>
  <c r="Z134" i="51"/>
  <c r="AB69" i="51"/>
  <c r="S175" i="51"/>
  <c r="AB118" i="51"/>
  <c r="S66" i="51"/>
  <c r="Z117" i="51"/>
  <c r="S174" i="51"/>
  <c r="S93" i="51"/>
  <c r="M8" i="54"/>
  <c r="Z132" i="51"/>
  <c r="Z69" i="51"/>
  <c r="Z174" i="51"/>
  <c r="S11" i="51"/>
  <c r="I12" i="94"/>
  <c r="N10" i="54"/>
  <c r="H12" i="94"/>
  <c r="M10" i="54"/>
  <c r="Z175" i="51"/>
  <c r="Z35" i="51"/>
  <c r="S34" i="51"/>
  <c r="Z34" i="51"/>
  <c r="S10" i="51"/>
  <c r="S14" i="51"/>
  <c r="Z14" i="51"/>
  <c r="S53" i="51"/>
  <c r="Z53" i="51"/>
  <c r="Z61" i="51"/>
  <c r="S61" i="51"/>
  <c r="S138" i="51"/>
  <c r="AB138" i="51"/>
  <c r="Z138" i="51"/>
  <c r="Z57" i="51"/>
  <c r="S57" i="51"/>
  <c r="S51" i="51"/>
  <c r="Z51" i="51"/>
  <c r="S65" i="51"/>
  <c r="Z65" i="51"/>
  <c r="AB135" i="51"/>
  <c r="Z135" i="51"/>
  <c r="S135" i="51"/>
  <c r="AB133" i="51"/>
  <c r="Z133" i="51"/>
  <c r="S133" i="51"/>
  <c r="S36" i="51"/>
  <c r="Z36" i="51"/>
  <c r="Z116" i="51"/>
  <c r="AB116" i="51"/>
  <c r="S116" i="51"/>
  <c r="Z103" i="51"/>
  <c r="S103" i="51"/>
  <c r="AB103" i="51"/>
  <c r="S59" i="51"/>
  <c r="Z59" i="51"/>
  <c r="Z55" i="51"/>
  <c r="S55" i="51"/>
  <c r="S54" i="51"/>
  <c r="Z54" i="51"/>
  <c r="Z56" i="51"/>
  <c r="S56" i="51"/>
  <c r="AB173" i="51"/>
  <c r="S173" i="51"/>
  <c r="Z173" i="51"/>
  <c r="Z32" i="51"/>
  <c r="S32" i="51"/>
  <c r="Z18" i="51"/>
  <c r="S18" i="51"/>
  <c r="Z166" i="51"/>
  <c r="S166" i="51"/>
  <c r="AB166" i="51"/>
  <c r="AB68" i="51"/>
  <c r="S68" i="51"/>
  <c r="Z68" i="51"/>
  <c r="S165" i="51"/>
  <c r="AB165" i="51"/>
  <c r="Z165" i="51"/>
  <c r="Z137" i="51"/>
  <c r="AB137" i="51"/>
  <c r="S137" i="51"/>
  <c r="S94" i="51"/>
  <c r="Z94" i="51"/>
  <c r="AB94" i="51"/>
  <c r="Z42" i="51"/>
  <c r="S42" i="51"/>
  <c r="Z50" i="51"/>
  <c r="S50" i="51"/>
  <c r="S47" i="51"/>
  <c r="Z47" i="51"/>
  <c r="S45" i="51"/>
  <c r="Z45" i="51"/>
  <c r="S130" i="51"/>
  <c r="AB130" i="51"/>
  <c r="Z130" i="51"/>
  <c r="S39" i="51"/>
  <c r="Z39" i="51"/>
  <c r="S67" i="51"/>
  <c r="Z67" i="51"/>
  <c r="S60" i="51"/>
  <c r="Z60" i="51"/>
  <c r="G49" i="94"/>
  <c r="F49" i="94"/>
  <c r="H44" i="94"/>
  <c r="H46" i="94"/>
  <c r="I46" i="94"/>
  <c r="I44" i="94"/>
  <c r="Z183" i="51" l="1"/>
  <c r="Z15" i="50" s="1"/>
  <c r="AB183" i="51"/>
  <c r="Z178" i="51"/>
  <c r="Z10" i="50" s="1"/>
  <c r="AJ63" i="34" s="1"/>
  <c r="Z189" i="51"/>
  <c r="Z21" i="50" s="1"/>
  <c r="G11" i="30" s="1"/>
  <c r="Z188" i="51"/>
  <c r="Z20" i="50" s="1"/>
  <c r="AJ73" i="34" s="1"/>
  <c r="AB188" i="51"/>
  <c r="AB189" i="51"/>
  <c r="Z185" i="51"/>
  <c r="Z17" i="50" s="1"/>
  <c r="AJ70" i="34" s="1"/>
  <c r="AB185" i="51"/>
  <c r="T10" i="50"/>
  <c r="Z184" i="51"/>
  <c r="Z16" i="50" s="1"/>
  <c r="D11" i="30" s="1"/>
  <c r="Z180" i="51"/>
  <c r="Z12" i="50" s="1"/>
  <c r="AJ65" i="34" s="1"/>
  <c r="AB186" i="51"/>
  <c r="Z187" i="51"/>
  <c r="Z19" i="50" s="1"/>
  <c r="F11" i="30" s="1"/>
  <c r="AB184" i="51"/>
  <c r="AB190" i="51"/>
  <c r="Z177" i="51"/>
  <c r="Z9" i="50" s="1"/>
  <c r="AJ62" i="34" s="1"/>
  <c r="Z186" i="51"/>
  <c r="Z18" i="50" s="1"/>
  <c r="E11" i="30" s="1"/>
  <c r="Z181" i="51"/>
  <c r="Z13" i="50" s="1"/>
  <c r="AJ66" i="34" s="1"/>
  <c r="Z190" i="51"/>
  <c r="Z22" i="50" s="1"/>
  <c r="AB187" i="51"/>
  <c r="Z182" i="51"/>
  <c r="Z14" i="50" s="1"/>
  <c r="C11" i="30" s="1"/>
  <c r="AB182" i="51"/>
  <c r="Z179" i="51"/>
  <c r="Z11" i="50" s="1"/>
  <c r="AJ64" i="34" s="1"/>
  <c r="S185" i="51"/>
  <c r="S182" i="51"/>
  <c r="S183" i="51"/>
  <c r="S184" i="51"/>
  <c r="S181" i="51"/>
  <c r="S186" i="51"/>
  <c r="AJ68" i="34"/>
  <c r="S188" i="51"/>
  <c r="S177" i="51"/>
  <c r="S187" i="51"/>
  <c r="S190" i="51"/>
  <c r="S189" i="51"/>
  <c r="S179" i="51"/>
  <c r="S178" i="51"/>
  <c r="S180" i="51"/>
  <c r="F50" i="94"/>
  <c r="F48" i="94"/>
  <c r="G48" i="94"/>
  <c r="G50" i="94"/>
  <c r="H49" i="94"/>
  <c r="I49" i="94"/>
  <c r="AI63" i="34" l="1"/>
  <c r="AF15" i="34"/>
  <c r="AF17" i="34" s="1"/>
  <c r="AF18" i="34" s="1"/>
  <c r="AJ72" i="34"/>
  <c r="AA17" i="50"/>
  <c r="AB20" i="50"/>
  <c r="AK73" i="34" s="1"/>
  <c r="AA22" i="50"/>
  <c r="AJ75" i="34"/>
  <c r="C12" i="30"/>
  <c r="C13" i="30" s="1"/>
  <c r="C15" i="30" s="1"/>
  <c r="AJ67" i="34"/>
  <c r="AB12" i="50"/>
  <c r="AK65" i="34" s="1"/>
  <c r="AA12" i="50"/>
  <c r="AB19" i="50"/>
  <c r="AK72" i="34" s="1"/>
  <c r="AA19" i="50"/>
  <c r="E12" i="30"/>
  <c r="E13" i="30" s="1"/>
  <c r="E15" i="30" s="1"/>
  <c r="AJ71" i="34"/>
  <c r="D12" i="30"/>
  <c r="AJ69" i="34"/>
  <c r="AA11" i="50"/>
  <c r="AB11" i="50"/>
  <c r="AK64" i="34" s="1"/>
  <c r="AB13" i="50"/>
  <c r="AK66" i="34" s="1"/>
  <c r="AA13" i="50"/>
  <c r="G12" i="30"/>
  <c r="G13" i="30" s="1"/>
  <c r="G15" i="30" s="1"/>
  <c r="AJ74" i="34"/>
  <c r="F12" i="30"/>
  <c r="F13" i="30" s="1"/>
  <c r="F15" i="30" s="1"/>
  <c r="AB22" i="50"/>
  <c r="AK75" i="34" s="1"/>
  <c r="AB17" i="50"/>
  <c r="AK70" i="34" s="1"/>
  <c r="AA20" i="50"/>
  <c r="AB10" i="50"/>
  <c r="AK63" i="34" s="1"/>
  <c r="AA10" i="50"/>
  <c r="AB15" i="50"/>
  <c r="AK68" i="34" s="1"/>
  <c r="AA15" i="50"/>
  <c r="I48" i="94"/>
  <c r="I50" i="94"/>
  <c r="H48" i="94"/>
  <c r="H50" i="94"/>
  <c r="G41" i="24"/>
  <c r="D13" i="30" l="1"/>
  <c r="D15" i="30" s="1"/>
  <c r="H15" i="30" s="1"/>
  <c r="I15" i="30" s="1"/>
  <c r="AA18" i="50"/>
  <c r="AB18" i="50"/>
  <c r="AK71" i="34" s="1"/>
  <c r="AA16" i="50"/>
  <c r="AB16" i="50"/>
  <c r="AK69" i="34" s="1"/>
  <c r="AA9" i="50"/>
  <c r="AB9" i="50"/>
  <c r="AB21" i="50"/>
  <c r="AK74" i="34" s="1"/>
  <c r="AA21" i="50"/>
  <c r="AB14" i="50"/>
  <c r="AK67" i="34" s="1"/>
  <c r="AA14" i="50"/>
  <c r="AF19" i="34"/>
  <c r="F46" i="24"/>
  <c r="G46" i="24" s="1"/>
  <c r="G40" i="24"/>
  <c r="AK62" i="34" l="1"/>
  <c r="AE24" i="34"/>
  <c r="E8" i="60"/>
  <c r="F8" i="60" s="1"/>
  <c r="E10" i="60"/>
  <c r="F10" i="60" s="1"/>
  <c r="E7" i="60"/>
  <c r="H7" i="60" s="1"/>
  <c r="E9" i="60"/>
  <c r="F9" i="60" s="1"/>
  <c r="E12" i="60"/>
  <c r="F12" i="60" s="1"/>
  <c r="E11" i="60"/>
  <c r="F11" i="60" s="1"/>
  <c r="AE6" i="34"/>
  <c r="AE42" i="34"/>
  <c r="G43" i="24"/>
  <c r="J7" i="49"/>
  <c r="I10" i="49"/>
  <c r="I11" i="49" s="1"/>
  <c r="J8" i="49"/>
  <c r="AE46" i="34" l="1"/>
  <c r="AE43" i="34"/>
  <c r="AE28" i="34"/>
  <c r="AE27" i="34"/>
  <c r="AE25" i="34"/>
  <c r="AE26" i="34"/>
  <c r="H8" i="60"/>
  <c r="H10" i="60"/>
  <c r="H11" i="60"/>
  <c r="H12" i="60"/>
  <c r="E13" i="60"/>
  <c r="E14" i="60" s="1"/>
  <c r="F7" i="60"/>
  <c r="H9" i="60"/>
  <c r="AE29" i="34"/>
  <c r="AE47" i="34"/>
  <c r="AE45" i="34"/>
  <c r="AE44" i="34"/>
  <c r="L26" i="54"/>
  <c r="J10" i="49"/>
  <c r="J11" i="49" s="1"/>
  <c r="C42" i="34" l="1"/>
  <c r="F14" i="60"/>
  <c r="L21" i="54" s="1"/>
  <c r="C24" i="34"/>
  <c r="H13" i="60"/>
  <c r="H14" i="60" s="1"/>
  <c r="AE48" i="34"/>
  <c r="AF51" i="34" s="1"/>
  <c r="AF53" i="34" s="1"/>
  <c r="AE30" i="34"/>
  <c r="AF33" i="34" s="1"/>
  <c r="AF35" i="34" s="1"/>
  <c r="AF36" i="34" s="1"/>
  <c r="AD19" i="90"/>
  <c r="AD51" i="90" s="1"/>
  <c r="Z19" i="90"/>
  <c r="Z51" i="90" s="1"/>
  <c r="I19" i="90"/>
  <c r="G19" i="90"/>
  <c r="Y19" i="90"/>
  <c r="Y51" i="90" s="1"/>
  <c r="W19" i="90"/>
  <c r="W51" i="90" s="1"/>
  <c r="H19" i="90"/>
  <c r="E19" i="90"/>
  <c r="N19" i="90"/>
  <c r="N51" i="90" s="1"/>
  <c r="G51" i="90" l="1"/>
  <c r="I51" i="90"/>
  <c r="AL51" i="90" s="1"/>
  <c r="E51" i="90"/>
  <c r="H51" i="90"/>
  <c r="AE34" i="34"/>
  <c r="AE33" i="34"/>
  <c r="AE51" i="34"/>
  <c r="AE52" i="34"/>
  <c r="AF54" i="34"/>
  <c r="K51" i="90"/>
  <c r="X19" i="90"/>
  <c r="X51" i="90" s="1"/>
  <c r="T19" i="90"/>
  <c r="T51" i="90" s="1"/>
  <c r="U19" i="90"/>
  <c r="U51" i="90" s="1"/>
  <c r="S19" i="90"/>
  <c r="S51" i="90" s="1"/>
  <c r="AB19" i="90"/>
  <c r="AB51" i="90" s="1"/>
  <c r="J19" i="90"/>
  <c r="J51" i="90" s="1"/>
  <c r="V19" i="90"/>
  <c r="V51" i="90" s="1"/>
  <c r="AA19" i="90"/>
  <c r="AA51" i="90" s="1"/>
  <c r="P19" i="90"/>
  <c r="P51" i="90" s="1"/>
  <c r="AF19" i="90"/>
  <c r="L19" i="90"/>
  <c r="L51" i="90" s="1"/>
  <c r="O19" i="90"/>
  <c r="O51" i="90" s="1"/>
  <c r="AC19" i="90"/>
  <c r="AC51" i="90" s="1"/>
  <c r="AE19" i="90"/>
  <c r="AE51" i="90" s="1"/>
  <c r="M19" i="90"/>
  <c r="M51" i="90" s="1"/>
  <c r="R19" i="90"/>
  <c r="R51" i="90" s="1"/>
  <c r="F19" i="90"/>
  <c r="AG19" i="90"/>
  <c r="AG51" i="90" s="1"/>
  <c r="Q19" i="90"/>
  <c r="Q51" i="90" s="1"/>
  <c r="F51" i="90" l="1"/>
  <c r="AE35" i="34"/>
  <c r="AF37" i="34" s="1"/>
  <c r="AE53" i="34"/>
  <c r="AF55" i="34" s="1"/>
  <c r="AF51" i="90"/>
  <c r="AH19" i="90"/>
  <c r="AH51" i="90" s="1"/>
  <c r="AI19" i="90"/>
  <c r="AI51" i="90" s="1"/>
  <c r="C10" i="45" l="1"/>
  <c r="D17" i="45" l="1"/>
  <c r="F17" i="45" s="1"/>
  <c r="C17" i="45"/>
  <c r="C18" i="45" s="1"/>
  <c r="E17" i="45"/>
  <c r="D18" i="45"/>
  <c r="E18" i="45"/>
  <c r="D19" i="45"/>
  <c r="E19" i="45"/>
  <c r="D20" i="45"/>
  <c r="E20" i="45"/>
  <c r="E21" i="45"/>
  <c r="D21" i="45"/>
  <c r="D22" i="45"/>
  <c r="E22" i="45"/>
  <c r="D23" i="45"/>
  <c r="E23" i="45"/>
  <c r="E24" i="45"/>
  <c r="D24" i="45"/>
  <c r="D25" i="45"/>
  <c r="E25" i="45"/>
  <c r="E26" i="45"/>
  <c r="D26" i="45"/>
  <c r="E27" i="45"/>
  <c r="D27" i="45"/>
  <c r="D28" i="45"/>
  <c r="E28" i="45"/>
  <c r="E29" i="45"/>
  <c r="D29" i="45"/>
  <c r="E30" i="45"/>
  <c r="D30" i="45"/>
  <c r="D31" i="45"/>
  <c r="E31" i="45"/>
  <c r="E32" i="45"/>
  <c r="D32" i="45"/>
  <c r="E33" i="45"/>
  <c r="D33" i="45"/>
  <c r="E34" i="45"/>
  <c r="D34" i="45"/>
  <c r="D35" i="45"/>
  <c r="E35" i="45"/>
  <c r="E36" i="45"/>
  <c r="D36" i="45"/>
  <c r="E37" i="45"/>
  <c r="D37" i="45"/>
  <c r="E38" i="45"/>
  <c r="D38" i="45"/>
  <c r="D39" i="45"/>
  <c r="E39" i="45"/>
  <c r="E40" i="45"/>
  <c r="D40" i="45"/>
  <c r="E41" i="45"/>
  <c r="D41" i="45"/>
  <c r="E42" i="45"/>
  <c r="D42" i="45"/>
  <c r="E43" i="45"/>
  <c r="D43" i="45"/>
  <c r="E44" i="45"/>
  <c r="D44" i="45"/>
  <c r="D45" i="45"/>
  <c r="E45" i="45"/>
  <c r="E46" i="45"/>
  <c r="D46" i="45"/>
  <c r="E47" i="45"/>
  <c r="D47" i="45"/>
  <c r="E48" i="45"/>
  <c r="D48" i="45"/>
  <c r="D49" i="45"/>
  <c r="E49" i="45"/>
  <c r="E50" i="45"/>
  <c r="D50" i="45"/>
  <c r="E51" i="45"/>
  <c r="D51" i="45"/>
  <c r="E52" i="45"/>
  <c r="D52" i="45"/>
  <c r="E53" i="45"/>
  <c r="D53" i="45"/>
  <c r="D54" i="45"/>
  <c r="E54" i="45"/>
  <c r="E55" i="45"/>
  <c r="D55" i="45"/>
  <c r="D56" i="45"/>
  <c r="E56" i="45"/>
  <c r="E57" i="45"/>
  <c r="D57" i="45"/>
  <c r="D58" i="45"/>
  <c r="E58" i="45"/>
  <c r="E59" i="45"/>
  <c r="D59" i="45"/>
  <c r="D60" i="45"/>
  <c r="E60" i="45"/>
  <c r="D61" i="45"/>
  <c r="E61" i="45"/>
  <c r="D62" i="45"/>
  <c r="E62" i="45"/>
  <c r="E63" i="45"/>
  <c r="D63" i="45"/>
  <c r="D64" i="45"/>
  <c r="E64" i="45"/>
  <c r="E65" i="45"/>
  <c r="D65" i="45"/>
  <c r="E66" i="45"/>
  <c r="D66" i="45"/>
  <c r="D67" i="45"/>
  <c r="E67" i="45"/>
  <c r="E68" i="45"/>
  <c r="D68" i="45"/>
  <c r="E69" i="45"/>
  <c r="D69" i="45"/>
  <c r="D70" i="45"/>
  <c r="E70" i="45"/>
  <c r="E71" i="45"/>
  <c r="D71" i="45"/>
  <c r="E72" i="45"/>
  <c r="D72" i="45"/>
  <c r="D73" i="45"/>
  <c r="E73" i="45"/>
  <c r="E74" i="45"/>
  <c r="D74" i="45"/>
  <c r="D75" i="45"/>
  <c r="E75" i="45"/>
  <c r="E76" i="45"/>
  <c r="D76" i="45"/>
  <c r="D77" i="45"/>
  <c r="E77" i="45"/>
  <c r="E78" i="45"/>
  <c r="D78" i="45"/>
  <c r="E79" i="45"/>
  <c r="D79" i="45"/>
  <c r="D80" i="45"/>
  <c r="E80" i="45"/>
  <c r="E81" i="45"/>
  <c r="D81" i="45"/>
  <c r="D82" i="45"/>
  <c r="E82" i="45"/>
  <c r="E83" i="45"/>
  <c r="D83" i="45"/>
  <c r="E84" i="45"/>
  <c r="D84" i="45"/>
  <c r="E85" i="45"/>
  <c r="D85" i="45"/>
  <c r="D86" i="45"/>
  <c r="E86" i="45"/>
  <c r="E87" i="45"/>
  <c r="D87" i="45"/>
  <c r="D88" i="45"/>
  <c r="E88" i="45"/>
  <c r="E89" i="45"/>
  <c r="D89" i="45"/>
  <c r="E90" i="45"/>
  <c r="D90" i="45"/>
  <c r="E91" i="45"/>
  <c r="D91" i="45"/>
  <c r="E92" i="45"/>
  <c r="D92" i="45"/>
  <c r="D93" i="45"/>
  <c r="E93" i="45"/>
  <c r="D94" i="45"/>
  <c r="E94" i="45"/>
  <c r="E95" i="45"/>
  <c r="D95" i="45"/>
  <c r="E96" i="45"/>
  <c r="D96" i="45"/>
  <c r="E97" i="45"/>
  <c r="D97" i="45"/>
  <c r="E98" i="45"/>
  <c r="D98" i="45"/>
  <c r="E99" i="45"/>
  <c r="D99" i="45"/>
  <c r="D100" i="45"/>
  <c r="E100" i="45"/>
  <c r="C19" i="45"/>
  <c r="C20" i="45" s="1"/>
  <c r="C21" i="45" s="1"/>
  <c r="C22" i="45" s="1"/>
  <c r="C23" i="45" s="1"/>
  <c r="C24" i="45" s="1"/>
  <c r="C25" i="45" s="1"/>
  <c r="C26" i="45" s="1"/>
  <c r="C27" i="45" s="1"/>
  <c r="C28" i="45" s="1"/>
  <c r="C29" i="45" s="1"/>
  <c r="C30" i="45" s="1"/>
  <c r="C31" i="45" s="1"/>
  <c r="C32" i="45" s="1"/>
  <c r="C33" i="45" s="1"/>
  <c r="C34" i="45" s="1"/>
  <c r="C35" i="45" s="1"/>
  <c r="C36" i="45" s="1"/>
  <c r="C37" i="45" s="1"/>
  <c r="C38" i="45" s="1"/>
  <c r="C39" i="45" s="1"/>
  <c r="C40" i="45" s="1"/>
  <c r="C41" i="45" s="1"/>
  <c r="C42" i="45" s="1"/>
  <c r="C43" i="45" s="1"/>
  <c r="C44" i="45" s="1"/>
  <c r="C45" i="45" s="1"/>
  <c r="C46" i="45" s="1"/>
  <c r="C47" i="45" s="1"/>
  <c r="C48" i="45" s="1"/>
  <c r="C49" i="45" s="1"/>
  <c r="C50" i="45" s="1"/>
  <c r="C51" i="45" s="1"/>
  <c r="C52" i="45" s="1"/>
  <c r="C53" i="45" s="1"/>
  <c r="C54" i="45" s="1"/>
  <c r="C55" i="45" s="1"/>
  <c r="C56" i="45" s="1"/>
  <c r="C57" i="45" s="1"/>
  <c r="C58" i="45" s="1"/>
  <c r="C59" i="45" s="1"/>
  <c r="C60" i="45" s="1"/>
  <c r="C61" i="45" s="1"/>
  <c r="C62" i="45" s="1"/>
  <c r="C63" i="45" s="1"/>
  <c r="C64" i="45" s="1"/>
  <c r="C65" i="45" s="1"/>
  <c r="C66" i="45" s="1"/>
  <c r="C67" i="45" s="1"/>
  <c r="C68" i="45" s="1"/>
  <c r="C69" i="45" s="1"/>
  <c r="C70" i="45" s="1"/>
  <c r="C71" i="45" s="1"/>
  <c r="C72" i="45" s="1"/>
  <c r="C73" i="45" s="1"/>
  <c r="C74" i="45" s="1"/>
  <c r="C75" i="45" s="1"/>
  <c r="C76" i="45" s="1"/>
  <c r="C77" i="45" s="1"/>
  <c r="C78" i="45" s="1"/>
  <c r="C79" i="45" s="1"/>
  <c r="C80" i="45" s="1"/>
  <c r="C81" i="45" s="1"/>
  <c r="C82" i="45" s="1"/>
  <c r="C83" i="45" s="1"/>
  <c r="C84" i="45" s="1"/>
  <c r="C85" i="45" s="1"/>
  <c r="C86" i="45" s="1"/>
  <c r="C87" i="45" s="1"/>
  <c r="C88" i="45" s="1"/>
  <c r="C89" i="45" s="1"/>
  <c r="C90" i="45" s="1"/>
  <c r="C91" i="45" s="1"/>
  <c r="C92" i="45" s="1"/>
  <c r="C93" i="45" s="1"/>
  <c r="C94" i="45" s="1"/>
  <c r="C95" i="45" s="1"/>
  <c r="C96" i="45" s="1"/>
  <c r="C97" i="45" s="1"/>
  <c r="C98" i="45" s="1"/>
  <c r="C99" i="45" s="1"/>
  <c r="C100" i="45" s="1"/>
  <c r="F18" i="45"/>
  <c r="F19" i="45" s="1"/>
  <c r="D102" i="45" l="1"/>
  <c r="E102" i="45"/>
  <c r="C14" i="45" s="1"/>
  <c r="F20" i="45"/>
  <c r="F21" i="45"/>
  <c r="F22" i="45" s="1"/>
  <c r="F23" i="45" s="1"/>
  <c r="F24" i="45" s="1"/>
  <c r="F25" i="45" s="1"/>
  <c r="F26" i="45" s="1"/>
  <c r="F27" i="45" s="1"/>
  <c r="F28" i="45" s="1"/>
  <c r="F29" i="45" s="1"/>
  <c r="F30" i="45" s="1"/>
  <c r="F31" i="45" s="1"/>
  <c r="F32" i="45" s="1"/>
  <c r="F33" i="45" s="1"/>
  <c r="F34" i="45" s="1"/>
  <c r="F35" i="45" s="1"/>
  <c r="F36" i="45" s="1"/>
  <c r="F37" i="45" s="1"/>
  <c r="F38" i="45" s="1"/>
  <c r="F39" i="45" s="1"/>
  <c r="F40" i="45" s="1"/>
  <c r="F41" i="45" s="1"/>
  <c r="F42" i="45" s="1"/>
  <c r="F43" i="45" s="1"/>
  <c r="F44" i="45" s="1"/>
  <c r="F45" i="45" s="1"/>
  <c r="F46" i="45" s="1"/>
  <c r="F47" i="45" s="1"/>
  <c r="F48" i="45" s="1"/>
  <c r="F49" i="45" s="1"/>
  <c r="F50" i="45" s="1"/>
  <c r="F51" i="45" s="1"/>
  <c r="F52" i="45" s="1"/>
  <c r="F53" i="45" s="1"/>
  <c r="F54" i="45" s="1"/>
  <c r="F55" i="45" s="1"/>
  <c r="F56" i="45" s="1"/>
  <c r="F57" i="45" s="1"/>
  <c r="F58" i="45" s="1"/>
  <c r="F59" i="45" s="1"/>
  <c r="F60" i="45" s="1"/>
  <c r="F61" i="45" s="1"/>
  <c r="F62" i="45" s="1"/>
  <c r="F63" i="45" s="1"/>
  <c r="F64" i="45" s="1"/>
  <c r="F65" i="45" s="1"/>
  <c r="F66" i="45" s="1"/>
  <c r="F67" i="45" s="1"/>
  <c r="F68" i="45" s="1"/>
  <c r="F69" i="45" s="1"/>
  <c r="F70" i="45" s="1"/>
  <c r="F71" i="45" s="1"/>
  <c r="F72" i="45" s="1"/>
  <c r="F73" i="45" s="1"/>
  <c r="F74" i="45" s="1"/>
  <c r="F75" i="45" s="1"/>
  <c r="F76" i="45" s="1"/>
  <c r="F77" i="45" s="1"/>
  <c r="F78" i="45" s="1"/>
  <c r="F79" i="45" s="1"/>
  <c r="F80" i="45" s="1"/>
  <c r="F81" i="45" s="1"/>
  <c r="F82" i="45" s="1"/>
  <c r="F83" i="45" s="1"/>
  <c r="F84" i="45" s="1"/>
  <c r="F85" i="45" s="1"/>
  <c r="F86" i="45" s="1"/>
  <c r="F87" i="45" s="1"/>
  <c r="F88" i="45" s="1"/>
  <c r="F89" i="45" s="1"/>
  <c r="F90" i="45" s="1"/>
  <c r="F91" i="45" s="1"/>
  <c r="F92" i="45" s="1"/>
  <c r="F93" i="45" s="1"/>
  <c r="F94" i="45" s="1"/>
  <c r="F95" i="45" s="1"/>
  <c r="F96" i="45" s="1"/>
  <c r="F97" i="45" s="1"/>
  <c r="F98" i="45" s="1"/>
  <c r="F99" i="45" s="1"/>
  <c r="F100" i="45" s="1"/>
  <c r="C102" i="45"/>
  <c r="E105" i="45" s="1"/>
</calcChain>
</file>

<file path=xl/sharedStrings.xml><?xml version="1.0" encoding="utf-8"?>
<sst xmlns="http://schemas.openxmlformats.org/spreadsheetml/2006/main" count="4413" uniqueCount="798">
  <si>
    <t>Cape Light Compact, Cape and Vineyard Electrification Offering</t>
  </si>
  <si>
    <t>This workbook supports the Compact's CVEO program design assumptions, including costs and cost recovery.</t>
  </si>
  <si>
    <t>Table of Contents</t>
  </si>
  <si>
    <t xml:space="preserve">Tab </t>
  </si>
  <si>
    <t>Summary</t>
  </si>
  <si>
    <t>Inputs</t>
  </si>
  <si>
    <t>Values referenced throughout workbook calculations.</t>
  </si>
  <si>
    <t>Results</t>
  </si>
  <si>
    <t>Summary of key results.</t>
  </si>
  <si>
    <t>Estimates energy bill and other cost impacts for participants.</t>
  </si>
  <si>
    <t>Annual</t>
  </si>
  <si>
    <t>Estimates annual energy bills for participants.</t>
  </si>
  <si>
    <t>Monthly</t>
  </si>
  <si>
    <t>Estimates monthly energy bills for participants.</t>
  </si>
  <si>
    <t>Budget</t>
  </si>
  <si>
    <t>Heat Pumps</t>
  </si>
  <si>
    <t>Heat pumps assumptions (quantities, savings, costs) from heat pump installation by income and technology type.</t>
  </si>
  <si>
    <t>Payback</t>
  </si>
  <si>
    <t>RECs</t>
  </si>
  <si>
    <t>Estimates revenue from RECs.</t>
  </si>
  <si>
    <t>APS</t>
  </si>
  <si>
    <t>Estimates value of Alternative Energy Credits (AEC) available from Alternative Energy Portfolio Standard (APS) for heat pumps.</t>
  </si>
  <si>
    <t>LI%</t>
  </si>
  <si>
    <t>Estimates the low-income budget as a percent of total budget.</t>
  </si>
  <si>
    <t xml:space="preserve">LI Subsidy </t>
  </si>
  <si>
    <t>Estimates overall ratepayer savings from decreases in total LI subsidy.</t>
  </si>
  <si>
    <t>Sales</t>
  </si>
  <si>
    <t xml:space="preserve"> </t>
  </si>
  <si>
    <t>Wholesale</t>
  </si>
  <si>
    <t>Average Monthly Wholesale Load Cost Report from ISO New England.</t>
  </si>
  <si>
    <t>Heat Pump</t>
  </si>
  <si>
    <t>Solar</t>
  </si>
  <si>
    <t>Battery</t>
  </si>
  <si>
    <t>Notes</t>
  </si>
  <si>
    <t>Input</t>
  </si>
  <si>
    <t>Units</t>
  </si>
  <si>
    <t>Participation</t>
  </si>
  <si>
    <t>Total Participants</t>
  </si>
  <si>
    <t>Accounts</t>
  </si>
  <si>
    <t>% of accounts</t>
  </si>
  <si>
    <t>Calculation.</t>
  </si>
  <si>
    <t>Solar PV System</t>
  </si>
  <si>
    <t>$/unit</t>
  </si>
  <si>
    <t>Total solar PV cost</t>
  </si>
  <si>
    <t>Solar PV size</t>
  </si>
  <si>
    <t>Calculated: PV size * DC to AC derating.</t>
  </si>
  <si>
    <t>Annual production</t>
  </si>
  <si>
    <t>kWh</t>
  </si>
  <si>
    <t>DC to AC derating</t>
  </si>
  <si>
    <t>%</t>
  </si>
  <si>
    <t>Annual DC capacity factor</t>
  </si>
  <si>
    <t xml:space="preserve">Calculated for informational purposes: System size AC * Capacity Factor * 8760. </t>
  </si>
  <si>
    <t>Note: The RECs tab contains additional inputs.</t>
  </si>
  <si>
    <t>Battery Storage System</t>
  </si>
  <si>
    <t>Total participants with batteries</t>
  </si>
  <si>
    <t>Batteries</t>
  </si>
  <si>
    <t>Total batteries installed</t>
  </si>
  <si>
    <t>Costs and Incentives</t>
  </si>
  <si>
    <t>$</t>
  </si>
  <si>
    <t>Years</t>
  </si>
  <si>
    <t>Consistent with DPU 20-40 proposal. Exhibit ATB, Attachment B at 4.</t>
  </si>
  <si>
    <t>Number of ConnectedSolutions events per summer</t>
  </si>
  <si>
    <t># events</t>
  </si>
  <si>
    <t>Events in June</t>
  </si>
  <si>
    <t>Events in July</t>
  </si>
  <si>
    <t>Events in August</t>
  </si>
  <si>
    <t>Events in September</t>
  </si>
  <si>
    <t>Length of ConnectedSolutions event</t>
  </si>
  <si>
    <t>hours</t>
  </si>
  <si>
    <t>Participants switching from electric heat</t>
  </si>
  <si>
    <t>Participants switching from oil heat</t>
  </si>
  <si>
    <t>Participants switching from propane heat</t>
  </si>
  <si>
    <t>Minisplits</t>
  </si>
  <si>
    <t>Interest Rate (APR)</t>
  </si>
  <si>
    <t>Loan term</t>
  </si>
  <si>
    <t>https://www.myheatloan.com/landingpage</t>
  </si>
  <si>
    <t>Payments</t>
  </si>
  <si>
    <t>Months in a year.</t>
  </si>
  <si>
    <t>Additional Costs</t>
  </si>
  <si>
    <t>Sales, Technical Assistance &amp; Training</t>
  </si>
  <si>
    <t>Marketing and Advertising</t>
  </si>
  <si>
    <t>Evaluation and Market Research</t>
  </si>
  <si>
    <t>Residential costs</t>
  </si>
  <si>
    <t>Income Eligible costs</t>
  </si>
  <si>
    <t>Rate and Bill Inputs</t>
  </si>
  <si>
    <t>Value</t>
  </si>
  <si>
    <t>Fuel</t>
  </si>
  <si>
    <t>$/gallon</t>
  </si>
  <si>
    <t>Electric Bill</t>
  </si>
  <si>
    <t>$/year</t>
  </si>
  <si>
    <t>$/kWh</t>
  </si>
  <si>
    <t>LI Discount</t>
  </si>
  <si>
    <t>Electric Consumption</t>
  </si>
  <si>
    <t>Annual energy use for Room or Window AC units. The baseload electric consumption likely already includes some or all of a home's cooling usage. For the sake of this model, we assume cooling is incremental to the baseload consumption. Source: Navigant Study, Res 1 Baseline Load Shape Study, July 27, 2018, page 19: https://api-plus.anbetrack.com/etrm-gateway/etrm/api/v1/etrm/documents/5ee4885e6996f2535f7df752/view?authToken=e93b8d4e09b67e6f455e40f915628c6f4e5c3e9b3a23ff704312e44e42592ecab476eb723522f5e8d277a5f72509fe88e10c5074a533c885af3329d92100558ba74020e802f632.</t>
  </si>
  <si>
    <t>Other</t>
  </si>
  <si>
    <t>Real Discount Rate</t>
  </si>
  <si>
    <t>Monthly Bill Inputs</t>
  </si>
  <si>
    <t>Month</t>
  </si>
  <si>
    <t>Average Wholesale Rate</t>
  </si>
  <si>
    <t>Solar Generation</t>
  </si>
  <si>
    <t>Heat Pump Load Shape</t>
  </si>
  <si>
    <t>January</t>
  </si>
  <si>
    <t>February</t>
  </si>
  <si>
    <t>March</t>
  </si>
  <si>
    <t>April</t>
  </si>
  <si>
    <t>May</t>
  </si>
  <si>
    <t>June</t>
  </si>
  <si>
    <t>July</t>
  </si>
  <si>
    <t>August</t>
  </si>
  <si>
    <t>September</t>
  </si>
  <si>
    <t>October</t>
  </si>
  <si>
    <t>November</t>
  </si>
  <si>
    <t>December</t>
  </si>
  <si>
    <t>Assumptions / Notes</t>
  </si>
  <si>
    <t>See Wholesale Cost tab.</t>
  </si>
  <si>
    <t>Based on Synapse's COP calculator. Using a minisplit loadshape; there's very little difference in load shape between ductless and ducted. Load is for heating, not cooling.</t>
  </si>
  <si>
    <t>Customers</t>
  </si>
  <si>
    <t>Income Eligible</t>
  </si>
  <si>
    <t>Key Results</t>
  </si>
  <si>
    <t>Total Costs</t>
  </si>
  <si>
    <t>% Change</t>
  </si>
  <si>
    <t>A2a - Residential Coordinated Delivery</t>
  </si>
  <si>
    <t>B1a - Income Eligible Coordinated Delivery</t>
  </si>
  <si>
    <t>R-1</t>
  </si>
  <si>
    <t>CVEO Total</t>
  </si>
  <si>
    <t>R-3</t>
  </si>
  <si>
    <t>Participants</t>
  </si>
  <si>
    <t>Heat Pump Type</t>
  </si>
  <si>
    <t>Payback (years)</t>
  </si>
  <si>
    <t>Data for figure:</t>
  </si>
  <si>
    <t>Oil</t>
  </si>
  <si>
    <t>Ductless</t>
  </si>
  <si>
    <t>Before 
CVEO</t>
  </si>
  <si>
    <t>Fossil Fuel Bill</t>
  </si>
  <si>
    <t>Total Cost</t>
  </si>
  <si>
    <t>Net Cost Impact</t>
  </si>
  <si>
    <t>Pre-CVEO</t>
  </si>
  <si>
    <t>Post-CVEO</t>
  </si>
  <si>
    <t>Electric</t>
  </si>
  <si>
    <t>Fuel Bill</t>
  </si>
  <si>
    <t>Total Energy Bill</t>
  </si>
  <si>
    <t>Customer Charge</t>
  </si>
  <si>
    <t>Rate</t>
  </si>
  <si>
    <t>Usage</t>
  </si>
  <si>
    <t>Total bill</t>
  </si>
  <si>
    <t>Distribution and Supply Rate</t>
  </si>
  <si>
    <t>All-in Retail Rate</t>
  </si>
  <si>
    <t>Baseload Consumption</t>
  </si>
  <si>
    <t>Heating Consumption</t>
  </si>
  <si>
    <t>AC Consumption</t>
  </si>
  <si>
    <t>Total Consumption</t>
  </si>
  <si>
    <t>Total electric bill</t>
  </si>
  <si>
    <t>Net Consumption</t>
  </si>
  <si>
    <t>Bill Savings</t>
  </si>
  <si>
    <t>HP Consumption</t>
  </si>
  <si>
    <t>Key</t>
  </si>
  <si>
    <t>$/Gallon</t>
  </si>
  <si>
    <t>Gallons</t>
  </si>
  <si>
    <t xml:space="preserve">kWh </t>
  </si>
  <si>
    <t>Ducted</t>
  </si>
  <si>
    <t>Propane</t>
  </si>
  <si>
    <t>Customer  Information</t>
  </si>
  <si>
    <t>Rates</t>
  </si>
  <si>
    <t>Usage Profiles</t>
  </si>
  <si>
    <t>Distribution and Retail Supply Rate</t>
  </si>
  <si>
    <t>Retail Rate</t>
  </si>
  <si>
    <t>Rate for Baseload Load Shape</t>
  </si>
  <si>
    <t>Baseload Load Shape</t>
  </si>
  <si>
    <t>Solar Generation (Retail value)</t>
  </si>
  <si>
    <t>Heat Pump Consumption</t>
  </si>
  <si>
    <t>QF Payment</t>
  </si>
  <si>
    <t>IE Bill w/o Subsidy</t>
  </si>
  <si>
    <t>Battery Charging Load</t>
  </si>
  <si>
    <t>Roundtrip Efficiency Losses</t>
  </si>
  <si>
    <t>Checks</t>
  </si>
  <si>
    <t>$/month</t>
  </si>
  <si>
    <t>Total</t>
  </si>
  <si>
    <t>https://www.mass.gov/info-details/qualifying-facilities-and-on-site-generating-facilities</t>
  </si>
  <si>
    <t xml:space="preserve">  </t>
  </si>
  <si>
    <t>QC Checks</t>
  </si>
  <si>
    <t>Negative = net export.</t>
  </si>
  <si>
    <t>Positive= net consumer; owe a bill.</t>
  </si>
  <si>
    <t>Residential</t>
  </si>
  <si>
    <t>HEAT Loan - Solar</t>
  </si>
  <si>
    <t>Data for figure on Results tab</t>
  </si>
  <si>
    <t>2023-2024 Costs</t>
  </si>
  <si>
    <t>Heat pump incentives</t>
  </si>
  <si>
    <t>Solar incentives</t>
  </si>
  <si>
    <t>Battery incentives</t>
  </si>
  <si>
    <t>STAT costs</t>
  </si>
  <si>
    <t>Marketing costs</t>
  </si>
  <si>
    <t>EM&amp;V costs</t>
  </si>
  <si>
    <t xml:space="preserve">Total </t>
  </si>
  <si>
    <t>Solar PV</t>
  </si>
  <si>
    <t>total</t>
  </si>
  <si>
    <t>Total $</t>
  </si>
  <si>
    <t>Measure</t>
  </si>
  <si>
    <t xml:space="preserve">Customer </t>
  </si>
  <si>
    <t>Baseline Heating Fuel</t>
  </si>
  <si>
    <t>Fuel Oil - Res Distillate</t>
  </si>
  <si>
    <t>MSHP displacing Electric Heat (Single Family)</t>
  </si>
  <si>
    <t>Central Heat Pump fully displacing Oil Heat (Single Family)</t>
  </si>
  <si>
    <t>Central Heat Pump fully displacing Propane Heat (Single Family)</t>
  </si>
  <si>
    <t>MSHP fully displacing Oil Heat (Single Family)</t>
  </si>
  <si>
    <t>MSHP fully displacing Propane Heat (Single Family)</t>
  </si>
  <si>
    <t>Totals</t>
  </si>
  <si>
    <t>Sources</t>
  </si>
  <si>
    <t>Oil MMBtu per Gallon</t>
  </si>
  <si>
    <t>Propane MMBtu per Gallon</t>
  </si>
  <si>
    <t># Loans</t>
  </si>
  <si>
    <t xml:space="preserve">Total Principle </t>
  </si>
  <si>
    <t>Interest</t>
  </si>
  <si>
    <t>APR</t>
  </si>
  <si>
    <t>Term (in yrs)</t>
  </si>
  <si>
    <t>Pmts/Yr</t>
  </si>
  <si>
    <t>Payment #</t>
  </si>
  <si>
    <t>Payment</t>
  </si>
  <si>
    <t>Principle</t>
  </si>
  <si>
    <t>Balance</t>
  </si>
  <si>
    <t>Annual production per system</t>
  </si>
  <si>
    <t>Number of PV systems</t>
  </si>
  <si>
    <t>#</t>
  </si>
  <si>
    <t>All CVEO customers for both years.</t>
  </si>
  <si>
    <t>Total annual production</t>
  </si>
  <si>
    <t>MWh</t>
  </si>
  <si>
    <t>REC price</t>
  </si>
  <si>
    <t>$/MWh</t>
  </si>
  <si>
    <t>Annual revenue</t>
  </si>
  <si>
    <t>Years of REC revenue</t>
  </si>
  <si>
    <t>Lifetime revenue</t>
  </si>
  <si>
    <t>APS Analysis</t>
  </si>
  <si>
    <t>AEC Price</t>
  </si>
  <si>
    <t>LI</t>
  </si>
  <si>
    <t>Yes</t>
  </si>
  <si>
    <t>No</t>
  </si>
  <si>
    <t>Sectors</t>
  </si>
  <si>
    <t>2022-2024</t>
  </si>
  <si>
    <t>A - Residential</t>
  </si>
  <si>
    <t>B - Income Eligible</t>
  </si>
  <si>
    <t>C - Commercial &amp; Industrial</t>
  </si>
  <si>
    <t>Grand Total</t>
  </si>
  <si>
    <t>Low-Income Subsidy Reduction</t>
  </si>
  <si>
    <t>CVEO</t>
  </si>
  <si>
    <t>Amount ratepayers subsidize</t>
  </si>
  <si>
    <t>Difference in subsidy</t>
  </si>
  <si>
    <t>CVEO participants</t>
  </si>
  <si>
    <t>Total ratepayer benefit</t>
  </si>
  <si>
    <t>Source: Eversource monthly customer and sales reports to the Compact.</t>
  </si>
  <si>
    <t>Rate Type</t>
  </si>
  <si>
    <t>Sector</t>
  </si>
  <si>
    <t>R1RESIDENTIAL</t>
  </si>
  <si>
    <t>Res</t>
  </si>
  <si>
    <t>R2RESASST</t>
  </si>
  <si>
    <t>R3RESHTG</t>
  </si>
  <si>
    <t>R4RESASSTHTG</t>
  </si>
  <si>
    <t>Wholesale Costs</t>
  </si>
  <si>
    <t xml:space="preserve">Source:  </t>
  </si>
  <si>
    <t>https://www.iso-ne.com/isoexpress/web/reports/load-and-demand/-/tree/monthly-wholesale-load-cost-report</t>
  </si>
  <si>
    <t>C</t>
  </si>
  <si>
    <t>Average Monthly Wholesale Load Cost Report</t>
  </si>
  <si>
    <t>H</t>
  </si>
  <si>
    <t>Location ID</t>
  </si>
  <si>
    <t>Location Name</t>
  </si>
  <si>
    <t>Local Date</t>
  </si>
  <si>
    <t>OnOffPeak</t>
  </si>
  <si>
    <t>RTLMP</t>
  </si>
  <si>
    <t>Capacity</t>
  </si>
  <si>
    <t>First Contingency</t>
  </si>
  <si>
    <t>Second Contingency</t>
  </si>
  <si>
    <t>Regulation</t>
  </si>
  <si>
    <t>Forward Reserves</t>
  </si>
  <si>
    <t>Real-Time Reserves</t>
  </si>
  <si>
    <t>Inadvertent</t>
  </si>
  <si>
    <t>Marginal Loss Rev Fund</t>
  </si>
  <si>
    <t>Auction Rev Rights</t>
  </si>
  <si>
    <t>Demand Response Resource Cost</t>
  </si>
  <si>
    <t>Price Responsive Demand Cost</t>
  </si>
  <si>
    <t>ISO Sched 2</t>
  </si>
  <si>
    <t>ISO Sched 3</t>
  </si>
  <si>
    <t>NEPOOL Exp</t>
  </si>
  <si>
    <t>RTLO</t>
  </si>
  <si>
    <t>Number</t>
  </si>
  <si>
    <t>String</t>
  </si>
  <si>
    <t>Date</t>
  </si>
  <si>
    <t>D</t>
  </si>
  <si>
    <t>.H.INTERNAL_HUB</t>
  </si>
  <si>
    <t>ALL</t>
  </si>
  <si>
    <t>OFF</t>
  </si>
  <si>
    <t>ON</t>
  </si>
  <si>
    <t>.Z.MAINE</t>
  </si>
  <si>
    <t>.Z.NEWHAMPSHIRE</t>
  </si>
  <si>
    <t>.Z.VERMONT</t>
  </si>
  <si>
    <t>.Z.CONNECTICUT</t>
  </si>
  <si>
    <t>.Z.RHODEISLAND</t>
  </si>
  <si>
    <t>.Z.SEMASS</t>
  </si>
  <si>
    <t>.Z.WCMASS</t>
  </si>
  <si>
    <t>.Z.NEMASSBOST</t>
  </si>
  <si>
    <t>T</t>
  </si>
  <si>
    <t>324 lines</t>
  </si>
  <si>
    <t>MSHP fully displacing Oil Heat</t>
  </si>
  <si>
    <t>MSHP fully displacing Propane Heat</t>
  </si>
  <si>
    <t>IE</t>
  </si>
  <si>
    <t>Total battery cost</t>
  </si>
  <si>
    <t>ConnectedSolutions, customers participating in program year</t>
  </si>
  <si>
    <t>Battery roundtrip efficiency</t>
  </si>
  <si>
    <t>Payments per year</t>
  </si>
  <si>
    <t>Sales, Technical Assistance &amp; Training (STAT)</t>
  </si>
  <si>
    <t>Battery Storage</t>
  </si>
  <si>
    <t xml:space="preserve">Average fuel oil price </t>
  </si>
  <si>
    <t>Average propane price</t>
  </si>
  <si>
    <t>Baseload consumption, Residential, non-heating</t>
  </si>
  <si>
    <t>Baseload consumption, Low-Income, non-heating</t>
  </si>
  <si>
    <t>Baseload consumption, Residential, heating</t>
  </si>
  <si>
    <t>Baseload consumption, Low-Income, heating</t>
  </si>
  <si>
    <t xml:space="preserve">Customer charge </t>
  </si>
  <si>
    <t xml:space="preserve">R-1 / R-2 distribution and supply rate </t>
  </si>
  <si>
    <t xml:space="preserve">R-3 / R-4 distribution and supply rate </t>
  </si>
  <si>
    <t>Heat Pump Details</t>
  </si>
  <si>
    <t>Assuming 10 years for simplified modeling purposes as prices are likely to change in the future. REC payments are expected for the life of the solar PV system, which is assumed to be 25 years.</t>
  </si>
  <si>
    <t>Income Eligible Spending Threshold Analysis</t>
  </si>
  <si>
    <t>Model Overview</t>
  </si>
  <si>
    <t>Model Inputs</t>
  </si>
  <si>
    <t>Rate Class</t>
  </si>
  <si>
    <t>Budget Detail</t>
  </si>
  <si>
    <t>Measure Name</t>
  </si>
  <si>
    <t>Customer Payback Analysis</t>
  </si>
  <si>
    <t>$ Change</t>
  </si>
  <si>
    <t>ParticipantBills</t>
  </si>
  <si>
    <t>Other results</t>
  </si>
  <si>
    <t>annually</t>
  </si>
  <si>
    <t>Customer Sector</t>
  </si>
  <si>
    <t>Rate and Bill impacts to Non-Participants</t>
  </si>
  <si>
    <t>Rate Impact (¢/kWh)</t>
  </si>
  <si>
    <t>EES Rate, no CVEO</t>
  </si>
  <si>
    <t>EES Rate, CVEO portion</t>
  </si>
  <si>
    <t>Overview of the offering's design, participants, and incentives.</t>
  </si>
  <si>
    <t>Offering Summary</t>
  </si>
  <si>
    <t>below 60%</t>
  </si>
  <si>
    <t>61-80%</t>
  </si>
  <si>
    <t>Battery Performance</t>
  </si>
  <si>
    <t>n/a</t>
  </si>
  <si>
    <t>Participant Requirements</t>
  </si>
  <si>
    <t>Customer pays lesser of $5k or 20%, financed w/HEAT Loan. CLC pays balance.</t>
  </si>
  <si>
    <t>$15,000. 
Customer finances balance w/HEAT Loan.</t>
  </si>
  <si>
    <t>Customer finances w/HEAT Loan.</t>
  </si>
  <si>
    <t>Percent of SMI</t>
  </si>
  <si>
    <t>CVEO Incentives</t>
  </si>
  <si>
    <t>Connected Solutions incentive payments.</t>
  </si>
  <si>
    <t>&lt;-Amount that could offset the EES, if not costs.</t>
  </si>
  <si>
    <t>HEATLoan</t>
  </si>
  <si>
    <t>HEAT Loan</t>
  </si>
  <si>
    <t>Monthly HEAT Loan ($)</t>
  </si>
  <si>
    <t>HEAT Loan interest</t>
  </si>
  <si>
    <t>Annual HEAT Loan Payment</t>
  </si>
  <si>
    <t>Stoves</t>
  </si>
  <si>
    <t>Stove</t>
  </si>
  <si>
    <t>Participant Incentive</t>
  </si>
  <si>
    <t>Participant Cost</t>
  </si>
  <si>
    <t>CVEO34</t>
  </si>
  <si>
    <t>CVEO35</t>
  </si>
  <si>
    <t>CVEO9</t>
  </si>
  <si>
    <t>CVEO30</t>
  </si>
  <si>
    <t>CVEO31</t>
  </si>
  <si>
    <t>CVEO15</t>
  </si>
  <si>
    <t>CVEO33</t>
  </si>
  <si>
    <t>Annual revenue per customer</t>
  </si>
  <si>
    <t>Air Source Heat Pumps qualifying for APS</t>
  </si>
  <si>
    <t>HP units</t>
  </si>
  <si>
    <t>AECs generated for all qualifying HPs</t>
  </si>
  <si>
    <t>AECs</t>
  </si>
  <si>
    <t>Total AEC payments (preminted)</t>
  </si>
  <si>
    <t>Calculation</t>
  </si>
  <si>
    <t>Core Initiative</t>
  </si>
  <si>
    <t>Key changes between planning and reporting:</t>
  </si>
  <si>
    <t>Measure ID</t>
  </si>
  <si>
    <t>Not Income Restricted</t>
  </si>
  <si>
    <t>Data</t>
  </si>
  <si>
    <t>REC Revenue</t>
  </si>
  <si>
    <t>AECs are pre-minted for the life of the measure.</t>
  </si>
  <si>
    <t>Only two CVEO HPs qualified for the APS.</t>
  </si>
  <si>
    <t>Calculated. CLC does not expect any additional APS revenue for CVEO.</t>
  </si>
  <si>
    <t>$/AEC</t>
  </si>
  <si>
    <t>CLC's tracking system.</t>
  </si>
  <si>
    <t xml:space="preserve">For non-deed restricted customers only </t>
  </si>
  <si>
    <t>Deed restricted</t>
  </si>
  <si>
    <t>A2e - Residential Active Demand Reduction</t>
  </si>
  <si>
    <t>B1b - Income Eligible Active Demand Reduction</t>
  </si>
  <si>
    <t>Consistent with CLC reported data.</t>
  </si>
  <si>
    <t>CLC's tracking system. All Batteries were installed in 2024.</t>
  </si>
  <si>
    <t>Consistent with Program design.</t>
  </si>
  <si>
    <t>Consistent with Plan. Based on MassCEC, PVWatts Calculator, and Synapse PV Model.</t>
  </si>
  <si>
    <t xml:space="preserve">Consistent with Plan. PVWatts Calculator using the following inputs as of 8/27/2018: Barnstable, MA, 1 DC kW, Standard Module, Fixed roof mount array, system losses 14.08%, see: http://pvwatts.nrel.gov/ </t>
  </si>
  <si>
    <t>Property</t>
  </si>
  <si>
    <t>There were no CVEO-specific marketing costs.</t>
  </si>
  <si>
    <t>Difference</t>
  </si>
  <si>
    <t>Avg $/Loan</t>
  </si>
  <si>
    <t>Avg $/Month</t>
  </si>
  <si>
    <t>Based on REC broker pricing sheets and market projections.</t>
  </si>
  <si>
    <t>CVEO Participant</t>
  </si>
  <si>
    <t>Payback Period (years)</t>
  </si>
  <si>
    <t>Annual Cash Flow</t>
  </si>
  <si>
    <t>Average</t>
  </si>
  <si>
    <t>Participant A</t>
  </si>
  <si>
    <t>Participant B</t>
  </si>
  <si>
    <t>Participant C</t>
  </si>
  <si>
    <t>Participant D</t>
  </si>
  <si>
    <t>Participant E</t>
  </si>
  <si>
    <t>Participant F</t>
  </si>
  <si>
    <t xml:space="preserve">Average battery capacity </t>
  </si>
  <si>
    <t>Average battery output</t>
  </si>
  <si>
    <t>kW/unit</t>
  </si>
  <si>
    <t>kWh/unit</t>
  </si>
  <si>
    <t>$/Account</t>
  </si>
  <si>
    <t>Average incentive per non-induction stove</t>
  </si>
  <si>
    <t>Non-Induction Stoves</t>
  </si>
  <si>
    <t>2024 Customers</t>
  </si>
  <si>
    <t>-The Compact planned to install CVEO in 2023 and 2024. Actual installs occurred primarily in 2024.</t>
  </si>
  <si>
    <t>Non-Deed Restricted Financials</t>
  </si>
  <si>
    <t>Average Customer</t>
  </si>
  <si>
    <t>Amount Financed ($/Participant)</t>
  </si>
  <si>
    <t>LI % of Total</t>
  </si>
  <si>
    <t>Low-Income % of Total Spending</t>
  </si>
  <si>
    <t>Final funding from APS</t>
  </si>
  <si>
    <t>Possible funding from RECs</t>
  </si>
  <si>
    <t>Income Eligible, 
Non-Deed Restricted</t>
  </si>
  <si>
    <t>Income Eligible, 
Deed Restricted</t>
  </si>
  <si>
    <t>Affordable - Central Heat Pump fully displacing Oil Heat</t>
  </si>
  <si>
    <t>Affordable - MSHP displacing Electric Heat</t>
  </si>
  <si>
    <t>Affordable - MSHP fully displacing Oil Heat</t>
  </si>
  <si>
    <t>Affordable - MSHP fully displacing Propane Heat</t>
  </si>
  <si>
    <t>Affordable - Central Heat Pump fully displacing Propane Heat</t>
  </si>
  <si>
    <t>Variance Analysis</t>
  </si>
  <si>
    <t>Homes</t>
  </si>
  <si>
    <t>Deliverable Fuels</t>
  </si>
  <si>
    <t>Total Savings</t>
  </si>
  <si>
    <t>Avoided CO2e (Metric Tons)</t>
  </si>
  <si>
    <t>Total Resource Benefits</t>
  </si>
  <si>
    <t>Non-Resource Benefits</t>
  </si>
  <si>
    <t>Total TRC Test Benefits</t>
  </si>
  <si>
    <t>Non-Embedded GHG Benefits</t>
  </si>
  <si>
    <t>Benefit-Cost Ratio</t>
  </si>
  <si>
    <t>Annual Capacity (kW)</t>
  </si>
  <si>
    <t>Electric Energy (MWh)</t>
  </si>
  <si>
    <t>Electric Energy (MMBTU)</t>
  </si>
  <si>
    <t>Oil (MMBTU)</t>
  </si>
  <si>
    <t>Propane (MMBTU)</t>
  </si>
  <si>
    <t>MMBTU</t>
  </si>
  <si>
    <t>Electric Energy</t>
  </si>
  <si>
    <t>Summer</t>
  </si>
  <si>
    <t>Winter</t>
  </si>
  <si>
    <t>Lifetime</t>
  </si>
  <si>
    <t>Planned</t>
  </si>
  <si>
    <t>Costs</t>
  </si>
  <si>
    <t>Planned Savings</t>
  </si>
  <si>
    <t>Planned Cost-Effectiveness</t>
  </si>
  <si>
    <t>Total Program Costs</t>
  </si>
  <si>
    <t>Planned Costs ($)</t>
  </si>
  <si>
    <t>Total CVEO</t>
  </si>
  <si>
    <t>A3f - Residential Evaluation and Market Research</t>
  </si>
  <si>
    <t>B2f - Income Eligible Evaluation and Market Research</t>
  </si>
  <si>
    <t>A2c - Residential Retail (Stoves only)</t>
  </si>
  <si>
    <t>A3i - Residential HEAT Loan</t>
  </si>
  <si>
    <t>Core Initiatives</t>
  </si>
  <si>
    <t>income Restricted</t>
  </si>
  <si>
    <t>Quantities</t>
  </si>
  <si>
    <t>Quantity Checks</t>
  </si>
  <si>
    <t>Actual</t>
  </si>
  <si>
    <t>Actual Costs ($)</t>
  </si>
  <si>
    <t>Actual Savings</t>
  </si>
  <si>
    <t>Difference Savings</t>
  </si>
  <si>
    <t>Difference Benefits</t>
  </si>
  <si>
    <t>Difference Cost-Effectiveness</t>
  </si>
  <si>
    <t>Customer Type </t>
  </si>
  <si>
    <t>CVEO Participants </t>
  </si>
  <si>
    <t>Receiving a Battery </t>
  </si>
  <si>
    <t>Total Batteries </t>
  </si>
  <si>
    <t>Average Batteries per Participant </t>
  </si>
  <si>
    <t>Total </t>
  </si>
  <si>
    <t>Residential, Not Deed Restricted</t>
  </si>
  <si>
    <t>Residential, Deed Restricted</t>
  </si>
  <si>
    <t>Income Eligible, Not Deed Restricted</t>
  </si>
  <si>
    <t>Income Eligible, Deed Restricted</t>
  </si>
  <si>
    <t>One customer received 1 battery. Two customers received 2 batteries.</t>
  </si>
  <si>
    <t>No batteries installed.</t>
  </si>
  <si>
    <t>Three customers received 1 battery. Six customers received 2 batteries.</t>
  </si>
  <si>
    <t>For summer 2024, 2 customers participated the whole season, and 1 joined part way through.</t>
  </si>
  <si>
    <t>Consistent with CLC reported data. Represents the average power discharged across events in 2024.</t>
  </si>
  <si>
    <t>Most events were 2 hours. Maximum length of event is 3 hours.</t>
  </si>
  <si>
    <t>CVEO incentive to Non-deed restricted customers</t>
  </si>
  <si>
    <t>CVEO28</t>
  </si>
  <si>
    <t>CVEO29</t>
  </si>
  <si>
    <t>CVEO32</t>
  </si>
  <si>
    <t>Savings and costs are from CLC's tracking data.</t>
  </si>
  <si>
    <t>Tons</t>
  </si>
  <si>
    <t>Fossil Fuel Type</t>
  </si>
  <si>
    <t>(%)</t>
  </si>
  <si>
    <t>($/Home)</t>
  </si>
  <si>
    <t>($/Ton)</t>
  </si>
  <si>
    <t>Fuel Savings</t>
  </si>
  <si>
    <t>(MMBtu/Ton)</t>
  </si>
  <si>
    <t>(Gallons/Ton)</t>
  </si>
  <si>
    <t>(MMBtu/Home)</t>
  </si>
  <si>
    <t>(Gallons/Home)</t>
  </si>
  <si>
    <t>Distribution</t>
  </si>
  <si>
    <t>(kWh/Ton)</t>
  </si>
  <si>
    <t>(kWh/Home)</t>
  </si>
  <si>
    <t>Per Unit</t>
  </si>
  <si>
    <t>All Units</t>
  </si>
  <si>
    <t>($)</t>
  </si>
  <si>
    <t>Gross Annual Savings</t>
  </si>
  <si>
    <t>A2c - Residential Retail</t>
  </si>
  <si>
    <t>TRC Costs (2022$)</t>
  </si>
  <si>
    <t>Net Benefits (2022$)</t>
  </si>
  <si>
    <t>Actual Cost-Effectiveness</t>
  </si>
  <si>
    <t>Customer, Technology</t>
  </si>
  <si>
    <t xml:space="preserve">Income Eligible </t>
  </si>
  <si>
    <t>Residential Evaluation and Market Research</t>
  </si>
  <si>
    <t>Income Eligible Evaluation and Market Research</t>
  </si>
  <si>
    <t>Nominal Discount Rate</t>
  </si>
  <si>
    <t>Overview</t>
  </si>
  <si>
    <t>Expenditures</t>
  </si>
  <si>
    <t>CVEO Incentive for Battery Installation</t>
  </si>
  <si>
    <t>Total Incentive Costs </t>
  </si>
  <si>
    <t>Average Incentive per Participant </t>
  </si>
  <si>
    <t>Average Incentive per Battery</t>
  </si>
  <si>
    <t>Battery Incentives ($)</t>
  </si>
  <si>
    <t>See D.P.U. 22-137, Exh. DPU 3-11.</t>
  </si>
  <si>
    <t>Heat Pump, Income Eligible Non-Deed Restricted</t>
  </si>
  <si>
    <t>Heat Pump, Income Eligible Deed Restricted</t>
  </si>
  <si>
    <t>Solar, Income Eligible Deed Restricted</t>
  </si>
  <si>
    <t>Solar, Income Eligible Non-Deed Restricted</t>
  </si>
  <si>
    <t>Heat Pump, Residential Deed Restricted</t>
  </si>
  <si>
    <t>Solar, Residential Deed Restricted</t>
  </si>
  <si>
    <t>Average interest rate of actual loans.</t>
  </si>
  <si>
    <t>Battery, Residential Deed Restricted</t>
  </si>
  <si>
    <t>Battery, Income Eligible Deed Restricted</t>
  </si>
  <si>
    <t>Customers obtaining a HEAT Loan (Income Eligible Non-Deed Restricted)</t>
  </si>
  <si>
    <t>Amount customers financed through the HEAT Loan (Principal)</t>
  </si>
  <si>
    <t xml:space="preserve">Batteries participating in ConnectedSolutions </t>
  </si>
  <si>
    <t xml:space="preserve">CLC's tracking system. </t>
  </si>
  <si>
    <t>Actual Benefits (2022$)</t>
  </si>
  <si>
    <t>Planned Benefits (2022$)</t>
  </si>
  <si>
    <t>Difference Costs</t>
  </si>
  <si>
    <t>2024 Operation</t>
  </si>
  <si>
    <t xml:space="preserve">Based on 2024 actual events. </t>
  </si>
  <si>
    <t>Solar Load Shape</t>
  </si>
  <si>
    <t>kW DC/unit</t>
  </si>
  <si>
    <t>kW AC/unit</t>
  </si>
  <si>
    <t>HP Type Installed</t>
  </si>
  <si>
    <t>MSHP displacing Electric Heat</t>
  </si>
  <si>
    <t xml:space="preserve">Central Heat Pump fully displacing Propane Heat </t>
  </si>
  <si>
    <t>Battery Installed</t>
  </si>
  <si>
    <t>EIA, 2023-2024 Winter Forecast, Table WF01. https://www.eia.gov/outlooks/steo/tables/pdf/wf01.pdf</t>
  </si>
  <si>
    <t>New Total Consumption</t>
  </si>
  <si>
    <t>As stated in DPU 22-237, Exh MTD, page 31: "Qualifying facilities. The solar PV systems will be interconnected as qualifying facilities. Any income stream associated with the net export from these facilities will go to the participant, as the Compact expects that the net export from the qualifying facility will be minimal such that the revenue stream is de minimis." https://www.mass.gov/info-details/qualifying-facilities-and-on-site-generating-facilities</t>
  </si>
  <si>
    <t>Pre-CVEO Fuel Type</t>
  </si>
  <si>
    <t>The above table shows all the customer type variations that participated in CVEO. All customers installed Solar PV.</t>
  </si>
  <si>
    <t>CVEO Participants</t>
  </si>
  <si>
    <t>CVEO Impacts</t>
  </si>
  <si>
    <t>Non-deed restricted</t>
  </si>
  <si>
    <t>Incentive Offered</t>
  </si>
  <si>
    <t>Incentive + STAT Cost</t>
  </si>
  <si>
    <t xml:space="preserve">-In 2025, the Compact incurred costs related to 1 solar PV system, 1 non-induction stove, and some EMV activities. </t>
  </si>
  <si>
    <t>-Those 2025 costs and projects are included in the 2024 CVEO values to provide a complete picture for CVEO.</t>
  </si>
  <si>
    <t>-The Compact will report these 2025 values in its 2025 models and reports. The 2025 solar and non-induction stove projects will have slightly different benefits in 2025 than what is shown here.</t>
  </si>
  <si>
    <t>-The Battery Performance results in this model are for the 3 CVEO customers who had batteries installed and operational for the 2024 summer season. Going forward, all CVEO batteries will participate in ConnectedSolutions.</t>
  </si>
  <si>
    <t>This tab summarizes the tabs within the model.</t>
  </si>
  <si>
    <t>Variances</t>
  </si>
  <si>
    <t>Provides a summary and comparison of planned and actual costs, savings, benefits, and cost-effectiveness.</t>
  </si>
  <si>
    <t>Item</t>
  </si>
  <si>
    <t>Residential 
Low Income</t>
  </si>
  <si>
    <t>Commercial &amp; Industrial</t>
  </si>
  <si>
    <t>Col. A</t>
  </si>
  <si>
    <t>Col. B</t>
  </si>
  <si>
    <t>Col. C</t>
  </si>
  <si>
    <t>Program Expenditures</t>
  </si>
  <si>
    <t>SBC Revenue</t>
  </si>
  <si>
    <t>Other Revenue</t>
  </si>
  <si>
    <t>Prior Year Deferral w/ Interest</t>
  </si>
  <si>
    <t>Interest on Deferral</t>
  </si>
  <si>
    <t>Revenue Requirement</t>
  </si>
  <si>
    <t xml:space="preserve">EERF before Low Income Allocation </t>
  </si>
  <si>
    <t>Low Income Allocation %</t>
  </si>
  <si>
    <t>Low Income Rev. Req. Allocation</t>
  </si>
  <si>
    <t xml:space="preserve">Revenue Requirement </t>
  </si>
  <si>
    <t>With CVEO Costs included</t>
  </si>
  <si>
    <t>Without CVEO Costs included</t>
  </si>
  <si>
    <t>Cape Light Compact JPE</t>
  </si>
  <si>
    <t>Summary of Bill Impact Analysis</t>
  </si>
  <si>
    <t>Rate Class Information</t>
  </si>
  <si>
    <t>Monthly Bill Comparison</t>
  </si>
  <si>
    <t>Annual Bill Comparison</t>
  </si>
  <si>
    <t>Monthly Avg</t>
  </si>
  <si>
    <t>Change in Total Bill</t>
  </si>
  <si>
    <t xml:space="preserve">Rate </t>
  </si>
  <si>
    <t>kW/kVA</t>
  </si>
  <si>
    <t>Total Change</t>
  </si>
  <si>
    <t>Rate R-1 Residential</t>
  </si>
  <si>
    <t>Rate R-2 Residential Assistance</t>
  </si>
  <si>
    <t>R-2</t>
  </si>
  <si>
    <t>Rate R-3 Residential Space Heating</t>
  </si>
  <si>
    <t xml:space="preserve">Rate R-4 Residential Assistance Space Heating </t>
  </si>
  <si>
    <t>R-4</t>
  </si>
  <si>
    <t>Rate G-1 Small General Service</t>
  </si>
  <si>
    <t>G-1</t>
  </si>
  <si>
    <t>Rate G-2 Medium General Service</t>
  </si>
  <si>
    <t>G-2</t>
  </si>
  <si>
    <t>Rate G-3 Large General Service</t>
  </si>
  <si>
    <t>G-3</t>
  </si>
  <si>
    <t>Rate G-4 General Power (Closed)</t>
  </si>
  <si>
    <t>G-4</t>
  </si>
  <si>
    <t>Rate G-6 All Electric School (Closed)</t>
  </si>
  <si>
    <t>G-6</t>
  </si>
  <si>
    <t>Rate G-7 Optional General Time of Use (Closed)</t>
  </si>
  <si>
    <t>G-7</t>
  </si>
  <si>
    <t>Min</t>
  </si>
  <si>
    <t>Max</t>
  </si>
  <si>
    <t>C&amp;I Rate</t>
  </si>
  <si>
    <t>C&amp;I %</t>
  </si>
  <si>
    <t>C&amp;I $</t>
  </si>
  <si>
    <t>Total Rate</t>
  </si>
  <si>
    <t>Total %</t>
  </si>
  <si>
    <t>Calculation of Monthly Typical Bill</t>
  </si>
  <si>
    <t>Total Bill Impact</t>
  </si>
  <si>
    <t>Delivery</t>
  </si>
  <si>
    <t>Supplier</t>
  </si>
  <si>
    <t>Change</t>
  </si>
  <si>
    <t>Avg</t>
  </si>
  <si>
    <t>Distribution Energy</t>
  </si>
  <si>
    <t>Exogenous Cost Adjustment</t>
  </si>
  <si>
    <t>Revenue Decoupling</t>
  </si>
  <si>
    <t>Solar Massachusetts Renewable Target</t>
  </si>
  <si>
    <t>Residential Assistance Adjustment Factor</t>
  </si>
  <si>
    <t>Pension Adjustment Factor</t>
  </si>
  <si>
    <t>Net Metering Recovery Surcharge</t>
  </si>
  <si>
    <t>Long Term Renewable Contract Adjustment</t>
  </si>
  <si>
    <t>AG Consulting Expense</t>
  </si>
  <si>
    <t>Storm Cost Recovery Adjustment Factor</t>
  </si>
  <si>
    <t>Storm Reserve Adjustment</t>
  </si>
  <si>
    <t>Basic Service Cost True Up Factor</t>
  </si>
  <si>
    <t>Solar Program Cost Adjustment Factor</t>
  </si>
  <si>
    <t>Solar Expansion Cost Recovery Factor</t>
  </si>
  <si>
    <t>Vegetation Management</t>
  </si>
  <si>
    <t>Tax Act Credit Factor</t>
  </si>
  <si>
    <t>Grid Modernization</t>
  </si>
  <si>
    <t>Advanced Metering Infrastructure</t>
  </si>
  <si>
    <t>Transition</t>
  </si>
  <si>
    <t>Transmission Energy</t>
  </si>
  <si>
    <t>Energy Efficiency Reconciliation Factor</t>
  </si>
  <si>
    <t>System Benefits Charge</t>
  </si>
  <si>
    <t>Renewable Energy Charge</t>
  </si>
  <si>
    <t>Supply Charge</t>
  </si>
  <si>
    <t>Low Income Discount</t>
  </si>
  <si>
    <t>kVA</t>
  </si>
  <si>
    <t>Hours Use:</t>
  </si>
  <si>
    <t>Distribution Demand</t>
  </si>
  <si>
    <t>Transmission Demand</t>
  </si>
  <si>
    <t>Rate G-6 All Electirc School (Closed)</t>
  </si>
  <si>
    <t>Distribution Energy - Peak</t>
  </si>
  <si>
    <t>Distribution Energy - Low Load</t>
  </si>
  <si>
    <t>Peak Use:</t>
  </si>
  <si>
    <t>Low A Use:</t>
  </si>
  <si>
    <t>2024 Without CVEO</t>
  </si>
  <si>
    <t>2024 With CVEO</t>
  </si>
  <si>
    <t>Baseload consumption for air conditioning, residential and low-income</t>
  </si>
  <si>
    <t>Sources and notes</t>
  </si>
  <si>
    <t>The Compact's actual 2024 expenditures. See the Compact's 2022-2024 Term Report, D.P.U. 25-126.</t>
  </si>
  <si>
    <t>Calculation. Sum of expenditures and revenue.</t>
  </si>
  <si>
    <t>Calculation. Revenue Requirement / Sales</t>
  </si>
  <si>
    <t>Actual kWh</t>
  </si>
  <si>
    <t>Calculation. Sum of Revenue Requirements.</t>
  </si>
  <si>
    <t>2024 w/CVEO vs. 2024 w/o CVEO</t>
  </si>
  <si>
    <t>Calculation. Low-Income Revenue Requirement x Low Income Allocation %</t>
  </si>
  <si>
    <t>Calculation. Sum of sales.</t>
  </si>
  <si>
    <t>The Compact's actual 2024 other revenue. See the July 2025 EES, D.P.U. 25-52.</t>
  </si>
  <si>
    <t>The Compact's actual 2024 interest. See the July 2025 EES, D.P.U. 25.52.</t>
  </si>
  <si>
    <t>The Compact's actual 2024 SBC revenue. See the July 2025 EES, D.P.U. 25-52.</t>
  </si>
  <si>
    <t>The Compact's actual 2024 sales.</t>
  </si>
  <si>
    <t>See D.P.U. 22-22</t>
  </si>
  <si>
    <t>Both 2024 EERF rates are illustrative rates that represent a hypothetical January 1, 2024 effective rate.</t>
  </si>
  <si>
    <t>EES Rate without CVEO</t>
  </si>
  <si>
    <t>2024 EES rate without CVEO, Residential and Low-Income</t>
  </si>
  <si>
    <t>2024 EES rate with CVEO, Residential and Low-Income</t>
  </si>
  <si>
    <t>See EES tab</t>
  </si>
  <si>
    <t>Supply rates effective April 2024. Distribution rates effective January 2024. Includes SBC but not EERF. See BillsDetail tab.</t>
  </si>
  <si>
    <t>Updated to be consistent with Eversource's rate case (D.P.U. 22-22).</t>
  </si>
  <si>
    <t>CVEO portion of EERF</t>
  </si>
  <si>
    <t>The Compact's actual 2023 deferral w/interest. See the July 2025 EES, D.P.U. 25-52.</t>
  </si>
  <si>
    <t>2024 EERF</t>
  </si>
  <si>
    <t>EES</t>
  </si>
  <si>
    <t>Bills Summary</t>
  </si>
  <si>
    <t>Bills Detail</t>
  </si>
  <si>
    <t>2024 Customers and Sales</t>
  </si>
  <si>
    <t>Inventory Energy Program Cost</t>
  </si>
  <si>
    <t>DA Ancillary Service Cost</t>
  </si>
  <si>
    <t>Filename: whlsecost_monthlyavg_2024.csv</t>
  </si>
  <si>
    <t>Report for: 2024</t>
  </si>
  <si>
    <t>Report generated: 07/25/2025 16:38:53 EDT</t>
  </si>
  <si>
    <t>Consistent with Planned CVEO Solar load shape.</t>
  </si>
  <si>
    <t>Monthly Bill Impacts</t>
  </si>
  <si>
    <t>HEAT Loan, Income Eligible Non-Deed Restricted</t>
  </si>
  <si>
    <t>Incentive per Customer</t>
  </si>
  <si>
    <t>All batteries were installed at deed restricted properties, therefore all battery costs were 100% incented.</t>
  </si>
  <si>
    <t>Heat prior to CVEO -&gt;</t>
  </si>
  <si>
    <t>Annually</t>
  </si>
  <si>
    <t>Over 10 Years</t>
  </si>
  <si>
    <t>Income Eligible electric bill (pre-subsidy)</t>
  </si>
  <si>
    <t>Heat Pump Installed</t>
  </si>
  <si>
    <t>HEAT Loan (Principal)</t>
  </si>
  <si>
    <t>The above bills are illustrative. Actual bills will vary.</t>
  </si>
  <si>
    <t>Bill Savings (% of total bills)</t>
  </si>
  <si>
    <t>CVEO HP installed</t>
  </si>
  <si>
    <t>Pre-CVEO Heating</t>
  </si>
  <si>
    <t>Number of Participants</t>
  </si>
  <si>
    <t>Most CVEO Participants</t>
  </si>
  <si>
    <t>Data for Figure</t>
  </si>
  <si>
    <t>Equipment</t>
  </si>
  <si>
    <t>Change in Bill</t>
  </si>
  <si>
    <t>Bill (Including Solar + QF)</t>
  </si>
  <si>
    <t>Bill</t>
  </si>
  <si>
    <t>Difference due to HP consumption in Monthly tab due to CVEO-HP only; HP consumption in Monthly tab is for all HP (incl. those installed pre-CVEO)</t>
  </si>
  <si>
    <t>HP prior to CVEO</t>
  </si>
  <si>
    <t>Average Annual Bill Savings</t>
  </si>
  <si>
    <t>The customers with a HEAT Loan used the loan to finance their Solar PV costs. All HEAT Loan customers are income eligible living in non-deed restricted properties, and did not install a battery.</t>
  </si>
  <si>
    <t>Bill impact experienced by most CVEO participants</t>
  </si>
  <si>
    <t>CVEO participant(s) with the highest percent reduction in total bills</t>
  </si>
  <si>
    <t>Highest reduction in total bills</t>
  </si>
  <si>
    <t>Lowest reduction in total bills</t>
  </si>
  <si>
    <t>CVEO participant(s) with the lowest percent reduction in total bills</t>
  </si>
  <si>
    <t>Bill impacts for all types of CVEO participants</t>
  </si>
  <si>
    <t>Name for figure</t>
  </si>
  <si>
    <t>Planned participants for the Active Demand Reduction core initiatives are the customers who were expected to participate during 2024 (the second CVEO year).</t>
  </si>
  <si>
    <t>Program</t>
  </si>
  <si>
    <t>The sector totals for participants removes customers who participated across multiple core initiatives.</t>
  </si>
  <si>
    <t>(kWh)</t>
  </si>
  <si>
    <t>(MMBtu)</t>
  </si>
  <si>
    <t>Residential, Deed restricted</t>
  </si>
  <si>
    <t xml:space="preserve">Participants receiving batteries, Income Eligible Non-deed restricted </t>
  </si>
  <si>
    <t xml:space="preserve">Batteries per participant, Income Eligible Non-deed restricted </t>
  </si>
  <si>
    <t xml:space="preserve">Heat Pumps installed for Income Eligible Non-deed restricted </t>
  </si>
  <si>
    <t>Customers requiring a non-induction stove, Income Eligible Non-deed restricted</t>
  </si>
  <si>
    <t>Income Eligible Non-deed restricted</t>
  </si>
  <si>
    <t>Participants receiving batteries, Income Eligible Deed restricted</t>
  </si>
  <si>
    <t>Batteries per participant, Income Eligible Deed restricted</t>
  </si>
  <si>
    <t>Heat Pumps installed for Income Eligible Deed restricted</t>
  </si>
  <si>
    <t>Customers requiring a non-induction stove, Income Eligible Deed restricted</t>
  </si>
  <si>
    <t>Income Eligible Deed restricted</t>
  </si>
  <si>
    <t>Participants receiving batteries, Residential Non-deed restricted</t>
  </si>
  <si>
    <t>Batteries per participant, Residential Non-deed restricted</t>
  </si>
  <si>
    <t>Heat Pumps installed for Residential Non-deed restricted</t>
  </si>
  <si>
    <t>Customers requiring a non-induction stove, Residential Non-deed restricted</t>
  </si>
  <si>
    <t>Residential Non-deed restricted</t>
  </si>
  <si>
    <t>Participants receiving batteries, Residential Deed restricted</t>
  </si>
  <si>
    <t>Batteries per participant, Residential Deed restricted</t>
  </si>
  <si>
    <t>Heat Pumps installed for Residential Deed restricted</t>
  </si>
  <si>
    <t>Customers requiring a non-induction stove, Residential Deed restricted</t>
  </si>
  <si>
    <t>Residential Deed restricted</t>
  </si>
  <si>
    <t>Deed Restricted Property</t>
  </si>
  <si>
    <t>-The Compact did not initially plan to serve Low Income Non-deed restricted customers. The Compact served 8 customers.</t>
  </si>
  <si>
    <t>-The Compact planned to serve Residential Non-deed restricted properties. No such customers ended up participating.</t>
  </si>
  <si>
    <t>Details the bill impacts from the hypothetical CVEO EES rate impact.</t>
  </si>
  <si>
    <t>Summarizes the bill impacts from the hypothetical CVEO EES rate impact.</t>
  </si>
  <si>
    <t>Variances Summary</t>
  </si>
  <si>
    <t>Total Program Cost</t>
  </si>
  <si>
    <t>Lifetime Electric Savings (MWh)</t>
  </si>
  <si>
    <t>Total Resource Benefits (2022$)</t>
  </si>
  <si>
    <t>Estimates an hypothetical 2024 EES with and without CVEO costs included.</t>
  </si>
  <si>
    <t>Summarizes battery costs by customer and battery.</t>
  </si>
  <si>
    <t>CVEO budget by technology, sector, and budget category.</t>
  </si>
  <si>
    <t>Estimates interest from HEAT Loan for the non-deed restricted customers.</t>
  </si>
  <si>
    <t>Estimates the payback period for a non-deed restricted customer.</t>
  </si>
  <si>
    <t>Customer sales by rate class by month for the Compact's territory for 2024.</t>
  </si>
  <si>
    <t>Cost Impact to CVEO Participant</t>
  </si>
  <si>
    <t>Battery Cost Summary</t>
  </si>
  <si>
    <t>HEAT Loan Summary</t>
  </si>
  <si>
    <t>HEAT Loans in 2024 for Solar PV</t>
  </si>
  <si>
    <t>Heat pump installed through CVEO -&gt;</t>
  </si>
  <si>
    <t>CVEO Costs</t>
  </si>
  <si>
    <t>Actual Costs, including CVEO</t>
  </si>
  <si>
    <t>Illustrative 2024 EES Rates</t>
  </si>
  <si>
    <t>Annual Bills for CVEO Participants</t>
  </si>
  <si>
    <t>Monthly Bills for CVEO Participants</t>
  </si>
  <si>
    <t>CLC's tracking system. Includes all associated costs, including any electrical work or interconnection costs.</t>
  </si>
  <si>
    <t>No moderate income projects.</t>
  </si>
  <si>
    <t>Cutomers used the HEAT Loan to finance the Solar PV costs greater than the $15,000 incentive.</t>
  </si>
  <si>
    <t>CLC's tracking system. Principal amount for all customers.</t>
  </si>
  <si>
    <t>8 Solar 
6 HEAT Loan</t>
  </si>
  <si>
    <t>CVEO Inputs: Actual Results</t>
  </si>
  <si>
    <t>Energy Efficiency Surcharge Estimate</t>
  </si>
  <si>
    <t>ConnectedSolutions incentives are only provided to non-deed restricted participants. All CVEO batteries participate in ConnectedSolutions.</t>
  </si>
  <si>
    <t>-Monthly calculations represent post-CVEO participation bills only. Pre-participation bills are calculated on the Annual tab.</t>
  </si>
  <si>
    <t>-QF calculations are determined based on the net kWh at the end of each month. If kWh at month's end is positive (exporting), then the Wholesale rate is applied to the kWh. If kWh at month's end is negative (consuming), then the Retail rate is applied to the kWh.</t>
  </si>
  <si>
    <t>-Using heating rates (R-3 and R-4) because this represents a post-participation bill. Using R-1 and R-2 consumption profile for baseload consumption estimate.</t>
  </si>
  <si>
    <t>-Low-income bill discount is not applied to QF payments.</t>
  </si>
  <si>
    <t>Source / Notes</t>
  </si>
  <si>
    <t>Version: For Report filed August 1, 2025</t>
  </si>
  <si>
    <t>In 2024, the Compact had EERF rates effective January and July. The CVEO analysis here assumes a single EERF for the entire year.</t>
  </si>
  <si>
    <t>Distribution rates (effective January 1, 2024) and supply rates (effective April 1, 2024) are consistent with the July 2024 EES rate and bill impacts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</si>
</sst>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0_);_(* \(#,##0.0\);_(* &quot;-&quot;??_);_(@_)"/>
    <numFmt numFmtId="167" formatCode="_(* #,##0_);_(* \(#,##0\);_(* &quot;-&quot;??_);_(@_)"/>
    <numFmt numFmtId="168" formatCode="&quot;$&quot;#,##0"/>
    <numFmt numFmtId="169" formatCode="_(&quot;$&quot;* #,##0_);_(&quot;$&quot;* \(#,##0\);_(&quot;$&quot;* &quot;-&quot;??_);_(@_)"/>
    <numFmt numFmtId="170" formatCode="_(* #,##0.000_);_(* \(#,##0.000\);_(* &quot;-&quot;??_);_(@_)"/>
    <numFmt numFmtId="171" formatCode="_(* #,##0.0_);_(* \(#,##0.0\);_(* &quot;-&quot;?_);_(@_)"/>
    <numFmt numFmtId="172" formatCode="0.0%"/>
    <numFmt numFmtId="173" formatCode="0.000"/>
    <numFmt numFmtId="174" formatCode="_(* #,##0.0000_);_(* \(#,##0.0000\);_(* &quot;-&quot;??_);_(@_)"/>
    <numFmt numFmtId="175" formatCode="0.0000"/>
    <numFmt numFmtId="176" formatCode="&quot;$&quot;#,##0.00000"/>
    <numFmt numFmtId="177" formatCode="_(* #,##0.00000_);_(* \(#,##0.00000\);_(* &quot;-&quot;??_);_(@_)"/>
    <numFmt numFmtId="178" formatCode="_(&quot;$&quot;* #,##0.000_);_(&quot;$&quot;* \(#,##0.000\);_(&quot;$&quot;* &quot;-&quot;??_);_(@_)"/>
    <numFmt numFmtId="179" formatCode="_(&quot;$&quot;* #,##0.00000_);_(&quot;$&quot;* \(#,##0.00000\);_(&quot;$&quot;* &quot;-&quot;??_);_(@_)"/>
    <numFmt numFmtId="180" formatCode="0.000%"/>
    <numFmt numFmtId="181" formatCode="&quot;$&quot;#,##0.0000_);\(&quot;$&quot;#,##0.0000\)"/>
    <numFmt numFmtId="182" formatCode="&quot;$&quot;#,##0.00000_);\(&quot;$&quot;#,##0.00000\)"/>
    <numFmt numFmtId="183" formatCode="0.000000_)"/>
    <numFmt numFmtId="184" formatCode="0.00000"/>
    <numFmt numFmtId="185" formatCode="_(&quot;$&quot;* #,##0.0000000_);_(&quot;$&quot;* \(#,##0.0000000\);_(&quot;$&quot;* &quot;-&quot;??_);_(@_)"/>
    <numFmt numFmtId="186" formatCode="_(&quot;$&quot;* #,##0.000000_);_(&quot;$&quot;* \(#,##0.000000\);_(&quot;$&quot;* &quot;-&quot;??_);_(@_)"/>
    <numFmt numFmtId="187" formatCode="_(&quot;$&quot;* #,##0.0_);_(&quot;$&quot;* \(#,##0.0\);_(&quot;$&quot;* &quot;-&quot;??_);_(@_)"/>
    <numFmt numFmtId="188" formatCode="_(&quot;$&quot;* #,##0.000_);_(&quot;$&quot;* \(#,##0.000\);_(&quot;$&quot;* &quot;-&quot;???_);_(@_)"/>
  </numFmts>
  <fonts count="105" x14ac:knownFonts="1">
    <font>
      <sz val="11"/>
      <color theme="1"/>
      <name val="Calibri"/>
      <family val="2"/>
      <scheme val="minor"/>
    </font>
    <font>
      <sz val="11"/>
      <color theme="1"/>
      <name val="Calibri"/>
      <family val="2"/>
      <scheme val="minor"/>
    </font>
    <font>
      <sz val="11"/>
      <color rgb="FFFF0000"/>
      <name val="Calibri"/>
      <family val="2"/>
      <scheme val="minor"/>
    </font>
    <font>
      <u/>
      <sz val="11"/>
      <color theme="1"/>
      <name val="Calibri"/>
      <family val="2"/>
      <scheme val="minor"/>
    </font>
    <font>
      <i/>
      <sz val="11"/>
      <color theme="1"/>
      <name val="Calibri"/>
      <family val="2"/>
      <scheme val="minor"/>
    </font>
    <font>
      <b/>
      <sz val="14"/>
      <color theme="1"/>
      <name val="Calibri"/>
      <family val="2"/>
      <scheme val="minor"/>
    </font>
    <font>
      <sz val="11"/>
      <name val="Calibri"/>
      <family val="2"/>
      <scheme val="minor"/>
    </font>
    <font>
      <u/>
      <sz val="11"/>
      <color theme="1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b/>
      <sz val="11"/>
      <color theme="0"/>
      <name val="Calibri"/>
      <family val="2"/>
      <scheme val="minor"/>
    </font>
    <font>
      <b/>
      <i/>
      <sz val="16"/>
      <color theme="1"/>
      <name val="Calibri"/>
      <family val="2"/>
      <scheme val="minor"/>
    </font>
    <font>
      <b/>
      <sz val="12"/>
      <color theme="0"/>
      <name val="Calibri"/>
      <family val="2"/>
      <scheme val="minor"/>
    </font>
    <font>
      <b/>
      <sz val="11"/>
      <color rgb="FFFF0000"/>
      <name val="Calibri"/>
      <family val="2"/>
      <scheme val="minor"/>
    </font>
    <font>
      <b/>
      <sz val="12"/>
      <color theme="1"/>
      <name val="Calibri"/>
      <family val="2"/>
      <scheme val="minor"/>
    </font>
    <font>
      <b/>
      <sz val="11"/>
      <color rgb="FF000000"/>
      <name val="Calibri"/>
      <family val="2"/>
    </font>
    <font>
      <sz val="11"/>
      <color rgb="FF000000"/>
      <name val="Calibri"/>
      <family val="2"/>
    </font>
    <font>
      <sz val="11"/>
      <name val="Calibri"/>
      <family val="2"/>
    </font>
    <font>
      <sz val="11"/>
      <color theme="1"/>
      <name val="Calibri"/>
      <family val="2"/>
    </font>
    <font>
      <sz val="11"/>
      <color rgb="FFFF0000"/>
      <name val="Calibri"/>
      <family val="2"/>
    </font>
    <font>
      <b/>
      <sz val="12"/>
      <color theme="0"/>
      <name val="Calibri"/>
      <family val="2"/>
    </font>
    <font>
      <sz val="11"/>
      <color theme="0" tint="-0.499984740745262"/>
      <name val="Calibri"/>
      <family val="2"/>
    </font>
    <font>
      <sz val="10"/>
      <name val="Arial"/>
      <family val="2"/>
    </font>
    <font>
      <sz val="12"/>
      <color theme="1"/>
      <name val="Calibri"/>
      <family val="2"/>
    </font>
    <font>
      <b/>
      <sz val="11"/>
      <name val="Calibri"/>
      <family val="2"/>
      <scheme val="minor"/>
    </font>
    <font>
      <b/>
      <sz val="11"/>
      <color theme="0"/>
      <name val="Calibri"/>
      <family val="2"/>
    </font>
    <font>
      <i/>
      <sz val="12"/>
      <color rgb="FFFF0000"/>
      <name val="Calibri"/>
      <family val="2"/>
      <scheme val="minor"/>
    </font>
    <font>
      <sz val="11"/>
      <color theme="0" tint="-0.499984740745262"/>
      <name val="Calibri"/>
      <family val="2"/>
      <scheme val="minor"/>
    </font>
    <font>
      <sz val="11"/>
      <color theme="0"/>
      <name val="Calibri"/>
      <family val="2"/>
    </font>
    <font>
      <sz val="12"/>
      <name val="Calibri"/>
      <family val="2"/>
      <scheme val="minor"/>
    </font>
    <font>
      <i/>
      <sz val="11"/>
      <name val="Calibri"/>
      <family val="2"/>
      <scheme val="minor"/>
    </font>
    <font>
      <i/>
      <sz val="11"/>
      <color theme="0" tint="-0.499984740745262"/>
      <name val="Calibri"/>
      <family val="2"/>
      <scheme val="minor"/>
    </font>
    <font>
      <sz val="11"/>
      <color theme="5"/>
      <name val="Calibri"/>
      <family val="2"/>
    </font>
    <font>
      <sz val="11"/>
      <color theme="5"/>
      <name val="Calibri"/>
      <family val="2"/>
      <scheme val="minor"/>
    </font>
    <font>
      <sz val="11"/>
      <color theme="6"/>
      <name val="Calibri"/>
      <family val="2"/>
    </font>
    <font>
      <sz val="11"/>
      <color theme="6"/>
      <name val="Calibri"/>
      <family val="2"/>
      <scheme val="minor"/>
    </font>
    <font>
      <sz val="11"/>
      <color rgb="FF00B050"/>
      <name val="Calibri"/>
      <family val="2"/>
      <scheme val="minor"/>
    </font>
    <font>
      <b/>
      <sz val="11"/>
      <name val="Calibri"/>
      <family val="2"/>
    </font>
    <font>
      <i/>
      <sz val="11"/>
      <color theme="0"/>
      <name val="Calibri"/>
      <family val="2"/>
      <scheme val="minor"/>
    </font>
    <font>
      <i/>
      <sz val="10"/>
      <name val="Calibri"/>
      <family val="2"/>
      <scheme val="minor"/>
    </font>
    <font>
      <i/>
      <sz val="10"/>
      <color theme="1"/>
      <name val="Calibri"/>
      <family val="2"/>
      <scheme val="minor"/>
    </font>
    <font>
      <sz val="12"/>
      <name val="Arial"/>
      <family val="2"/>
    </font>
    <font>
      <sz val="8"/>
      <name val="Calibri"/>
      <family val="2"/>
      <scheme val="minor"/>
    </font>
    <font>
      <u/>
      <sz val="11"/>
      <color theme="10"/>
      <name val="Calibri"/>
      <family val="2"/>
    </font>
    <font>
      <u/>
      <sz val="11"/>
      <name val="Calibri"/>
      <family val="2"/>
    </font>
    <font>
      <sz val="11"/>
      <color rgb="FF000000"/>
      <name val="Calibri"/>
      <family val="2"/>
      <scheme val="minor"/>
    </font>
    <font>
      <b/>
      <sz val="11"/>
      <color theme="0" tint="-0.499984740745262"/>
      <name val="Calibri"/>
      <family val="2"/>
      <scheme val="minor"/>
    </font>
    <font>
      <b/>
      <sz val="16"/>
      <color theme="1"/>
      <name val="Calibri"/>
      <family val="2"/>
      <scheme val="minor"/>
    </font>
    <font>
      <i/>
      <sz val="11"/>
      <color theme="0" tint="-0.499984740745262"/>
      <name val="Calibri"/>
      <family val="2"/>
    </font>
    <font>
      <b/>
      <sz val="11"/>
      <color theme="6"/>
      <name val="Calibri"/>
      <family val="2"/>
      <scheme val="minor"/>
    </font>
    <font>
      <u/>
      <sz val="11"/>
      <color theme="1"/>
      <name val="Calibri"/>
      <family val="2"/>
    </font>
    <font>
      <sz val="10"/>
      <color theme="0" tint="-0.499984740745262"/>
      <name val="Calibri"/>
      <family val="2"/>
      <scheme val="minor"/>
    </font>
    <font>
      <sz val="10"/>
      <color theme="1"/>
      <name val="Calibri"/>
      <family val="2"/>
      <scheme val="minor"/>
    </font>
    <font>
      <i/>
      <sz val="12"/>
      <name val="Calibri"/>
      <family val="2"/>
      <scheme val="minor"/>
    </font>
    <font>
      <i/>
      <sz val="16"/>
      <color theme="1"/>
      <name val="Calibri"/>
      <family val="2"/>
      <scheme val="minor"/>
    </font>
    <font>
      <sz val="11"/>
      <color theme="1"/>
      <name val="Calibri"/>
      <family val="2"/>
    </font>
    <font>
      <sz val="11"/>
      <color theme="1"/>
      <name val="Calibri"/>
      <family val="2"/>
      <scheme val="minor"/>
    </font>
    <font>
      <b/>
      <sz val="14"/>
      <color theme="0"/>
      <name val="Calibri"/>
      <family val="2"/>
      <scheme val="minor"/>
    </font>
    <font>
      <sz val="14"/>
      <color theme="1"/>
      <name val="Calibri"/>
      <family val="2"/>
      <scheme val="minor"/>
    </font>
    <font>
      <b/>
      <sz val="14"/>
      <color theme="3"/>
      <name val="Calibri"/>
      <family val="2"/>
      <scheme val="minor"/>
    </font>
    <font>
      <b/>
      <sz val="11"/>
      <color theme="0"/>
      <name val="Calibri"/>
      <family val="2"/>
    </font>
    <font>
      <sz val="11"/>
      <color theme="0"/>
      <name val="Calibri"/>
      <family val="2"/>
      <scheme val="minor"/>
    </font>
    <font>
      <u/>
      <sz val="14"/>
      <color theme="1"/>
      <name val="Calibri"/>
      <family val="2"/>
      <scheme val="minor"/>
    </font>
    <font>
      <b/>
      <sz val="14"/>
      <color theme="0"/>
      <name val="Calibri"/>
      <family val="2"/>
    </font>
    <font>
      <b/>
      <sz val="11"/>
      <color theme="1"/>
      <name val="Calibri"/>
      <family val="2"/>
    </font>
    <font>
      <sz val="11"/>
      <color theme="0"/>
      <name val="Calibri"/>
      <family val="2"/>
    </font>
    <font>
      <b/>
      <i/>
      <sz val="12"/>
      <color theme="0"/>
      <name val="Calibri"/>
      <family val="2"/>
    </font>
    <font>
      <b/>
      <i/>
      <sz val="12"/>
      <color theme="1"/>
      <name val="Calibri"/>
      <family val="2"/>
    </font>
    <font>
      <sz val="10"/>
      <name val="Calibri"/>
      <family val="2"/>
      <scheme val="minor"/>
    </font>
    <font>
      <sz val="11"/>
      <color rgb="FFEE0000"/>
      <name val="Calibri"/>
      <family val="2"/>
      <scheme val="minor"/>
    </font>
    <font>
      <sz val="11"/>
      <color indexed="8"/>
      <name val="Calibri"/>
      <family val="2"/>
    </font>
    <font>
      <sz val="11"/>
      <color rgb="FF7030A0"/>
      <name val="Calibri"/>
      <family val="2"/>
      <scheme val="minor"/>
    </font>
    <font>
      <b/>
      <sz val="12"/>
      <name val="Calibri"/>
      <family val="2"/>
      <scheme val="minor"/>
    </font>
    <font>
      <b/>
      <sz val="10"/>
      <name val="Calibri"/>
      <family val="2"/>
      <scheme val="minor"/>
    </font>
    <font>
      <b/>
      <sz val="11"/>
      <color indexed="8"/>
      <name val="Calibri"/>
      <family val="2"/>
      <scheme val="minor"/>
    </font>
    <font>
      <sz val="11"/>
      <color rgb="FF000000"/>
      <name val="Calibri Light"/>
      <family val="2"/>
      <scheme val="major"/>
    </font>
    <font>
      <u/>
      <sz val="11"/>
      <name val="Calibri"/>
      <family val="2"/>
      <scheme val="minor"/>
    </font>
    <font>
      <b/>
      <sz val="10"/>
      <name val="Arial"/>
      <family val="2"/>
    </font>
    <font>
      <b/>
      <u val="singleAccounting"/>
      <sz val="10"/>
      <name val="Arial"/>
      <family val="2"/>
    </font>
    <font>
      <sz val="8"/>
      <name val="Arial"/>
      <family val="2"/>
    </font>
    <font>
      <u val="singleAccounting"/>
      <sz val="10"/>
      <name val="Arial"/>
      <family val="2"/>
    </font>
    <font>
      <u/>
      <sz val="10"/>
      <name val="Arial"/>
      <family val="2"/>
    </font>
    <font>
      <sz val="10"/>
      <color rgb="FFFF0000"/>
      <name val="Arial"/>
      <family val="2"/>
    </font>
    <font>
      <sz val="10"/>
      <color theme="0" tint="-0.499984740745262"/>
      <name val="Arial"/>
      <family val="2"/>
    </font>
    <font>
      <sz val="10"/>
      <name val="Courier"/>
      <family val="3"/>
    </font>
    <font>
      <b/>
      <sz val="11"/>
      <name val="Arial"/>
      <family val="2"/>
    </font>
    <font>
      <sz val="11"/>
      <name val="Arial"/>
      <family val="2"/>
    </font>
    <font>
      <u/>
      <sz val="11"/>
      <name val="Arial"/>
      <family val="2"/>
    </font>
    <font>
      <sz val="11"/>
      <color rgb="FFFF0000"/>
      <name val="Arial"/>
      <family val="2"/>
    </font>
    <font>
      <sz val="11"/>
      <color theme="1"/>
      <name val="Arial"/>
      <family val="2"/>
    </font>
    <font>
      <sz val="11"/>
      <color theme="1"/>
      <name val="Times New Roman"/>
      <family val="1"/>
    </font>
    <font>
      <u/>
      <sz val="11"/>
      <color theme="1"/>
      <name val="Arial"/>
      <family val="2"/>
    </font>
    <font>
      <u/>
      <sz val="11"/>
      <color theme="1"/>
      <name val="Times New Roman"/>
      <family val="1"/>
    </font>
    <font>
      <sz val="10"/>
      <color theme="1"/>
      <name val="Calibri"/>
      <family val="2"/>
    </font>
    <font>
      <u val="singleAccounting"/>
      <sz val="11"/>
      <color indexed="8"/>
      <name val="Arial"/>
      <family val="2"/>
    </font>
    <font>
      <sz val="11"/>
      <color indexed="12"/>
      <name val="Arial"/>
      <family val="2"/>
    </font>
    <font>
      <sz val="11"/>
      <color indexed="8"/>
      <name val="Arial"/>
      <family val="2"/>
    </font>
    <font>
      <sz val="11"/>
      <color rgb="FF002060"/>
      <name val="Calibri"/>
      <family val="2"/>
    </font>
    <font>
      <sz val="11"/>
      <color rgb="FF002060"/>
      <name val="Calibri"/>
      <family val="2"/>
      <scheme val="minor"/>
    </font>
    <font>
      <sz val="14"/>
      <color theme="0" tint="-0.499984740745262"/>
      <name val="Calibri"/>
      <family val="2"/>
      <scheme val="minor"/>
    </font>
    <font>
      <sz val="11"/>
      <color theme="1"/>
      <name val="Calibri"/>
      <family val="2"/>
    </font>
    <font>
      <u/>
      <sz val="10"/>
      <name val="Calibri"/>
      <family val="2"/>
      <scheme val="minor"/>
    </font>
    <font>
      <b/>
      <sz val="14"/>
      <name val="Calibri"/>
      <family val="2"/>
      <scheme val="minor"/>
    </font>
  </fonts>
  <fills count="29">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7"/>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bgColor rgb="FF000000"/>
      </patternFill>
    </fill>
    <fill>
      <patternFill patternType="solid">
        <fgColor theme="3" tint="0.79998168889431442"/>
        <bgColor rgb="FF000000"/>
      </patternFill>
    </fill>
    <fill>
      <patternFill patternType="solid">
        <fgColor theme="4" tint="-0.249977111117893"/>
        <bgColor indexed="64"/>
      </patternFill>
    </fill>
    <fill>
      <patternFill patternType="solid">
        <fgColor theme="2" tint="-9.9978637043366805E-2"/>
        <bgColor indexed="64"/>
      </patternFill>
    </fill>
    <fill>
      <patternFill patternType="solid">
        <fgColor theme="3" tint="-0.499984740745262"/>
        <bgColor indexed="64"/>
      </patternFill>
    </fill>
    <fill>
      <patternFill patternType="solid">
        <fgColor theme="0" tint="-0.24994659260841701"/>
        <bgColor indexed="64"/>
      </patternFill>
    </fill>
    <fill>
      <patternFill patternType="solid">
        <fgColor theme="0"/>
        <bgColor indexed="64"/>
      </patternFill>
    </fill>
  </fills>
  <borders count="58">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auto="1"/>
      </bottom>
      <diagonal/>
    </border>
    <border>
      <left/>
      <right style="thin">
        <color indexed="64"/>
      </right>
      <top/>
      <bottom style="hair">
        <color auto="1"/>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top style="thin">
        <color rgb="FF000000"/>
      </top>
      <bottom/>
      <diagonal/>
    </border>
    <border>
      <left/>
      <right style="thin">
        <color indexed="64"/>
      </right>
      <top style="thin">
        <color rgb="FF000000"/>
      </top>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rgb="FF000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style="thin">
        <color indexed="64"/>
      </bottom>
      <diagonal/>
    </border>
    <border>
      <left/>
      <right style="thin">
        <color theme="0" tint="-0.24994659260841701"/>
      </right>
      <top/>
      <bottom style="thin">
        <color theme="0" tint="-0.24994659260841701"/>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tint="-0.24994659260841701"/>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right/>
      <top/>
      <bottom style="thin">
        <color theme="0" tint="-0.24994659260841701"/>
      </bottom>
      <diagonal/>
    </border>
    <border>
      <left style="thin">
        <color theme="0"/>
      </left>
      <right style="thin">
        <color theme="0"/>
      </right>
      <top/>
      <bottom style="thin">
        <color indexed="64"/>
      </bottom>
      <diagonal/>
    </border>
    <border>
      <left/>
      <right style="thin">
        <color indexed="64"/>
      </right>
      <top style="thin">
        <color theme="0"/>
      </top>
      <bottom style="thin">
        <color theme="0"/>
      </bottom>
      <diagonal/>
    </border>
    <border>
      <left style="thin">
        <color indexed="64"/>
      </left>
      <right/>
      <top style="thin">
        <color theme="0"/>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style="thin">
        <color theme="0" tint="-0.24994659260841701"/>
      </right>
      <top/>
      <bottom/>
      <diagonal/>
    </border>
    <border>
      <left/>
      <right style="thin">
        <color theme="0" tint="-0.24994659260841701"/>
      </right>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theme="0"/>
      </top>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20" fillId="0" borderId="0"/>
    <xf numFmtId="44" fontId="20" fillId="0" borderId="0" applyFont="0" applyFill="0" applyBorder="0" applyAlignment="0" applyProtection="0"/>
    <xf numFmtId="0" fontId="1" fillId="0" borderId="0"/>
    <xf numFmtId="43" fontId="20" fillId="0" borderId="0" applyFont="0" applyFill="0" applyBorder="0" applyAlignment="0" applyProtection="0"/>
    <xf numFmtId="9" fontId="20" fillId="0" borderId="0" applyFont="0" applyFill="0" applyBorder="0" applyAlignment="0" applyProtection="0"/>
    <xf numFmtId="0" fontId="43" fillId="0" borderId="0"/>
    <xf numFmtId="0" fontId="1" fillId="0" borderId="0"/>
    <xf numFmtId="0" fontId="45" fillId="0" borderId="0" applyNumberFormat="0" applyFill="0" applyBorder="0" applyAlignment="0" applyProtection="0"/>
    <xf numFmtId="0" fontId="24" fillId="0" borderId="0"/>
    <xf numFmtId="0" fontId="24" fillId="0" borderId="0"/>
    <xf numFmtId="0" fontId="72" fillId="0" borderId="0"/>
    <xf numFmtId="0" fontId="24" fillId="0" borderId="0"/>
    <xf numFmtId="9" fontId="24" fillId="0" borderId="0" applyFont="0" applyFill="0" applyBorder="0" applyAlignment="0" applyProtection="0"/>
    <xf numFmtId="0" fontId="86" fillId="0" borderId="0"/>
    <xf numFmtId="0" fontId="43" fillId="0" borderId="0"/>
    <xf numFmtId="9" fontId="24" fillId="0" borderId="0" applyFont="0" applyFill="0" applyBorder="0" applyAlignment="0" applyProtection="0"/>
    <xf numFmtId="0" fontId="86" fillId="0" borderId="0"/>
    <xf numFmtId="43" fontId="24" fillId="0" borderId="0" applyFont="0" applyFill="0" applyBorder="0" applyAlignment="0" applyProtection="0"/>
    <xf numFmtId="0" fontId="95" fillId="0" borderId="0"/>
    <xf numFmtId="9" fontId="24" fillId="0" borderId="0" applyFont="0" applyFill="0" applyBorder="0" applyAlignment="0" applyProtection="0"/>
    <xf numFmtId="44" fontId="24" fillId="0" borderId="0" applyFont="0" applyFill="0" applyBorder="0" applyAlignment="0" applyProtection="0"/>
    <xf numFmtId="0" fontId="86" fillId="0" borderId="0"/>
    <xf numFmtId="0" fontId="86" fillId="0" borderId="0"/>
    <xf numFmtId="0" fontId="47" fillId="0" borderId="0"/>
    <xf numFmtId="43" fontId="24" fillId="0" borderId="0" applyFont="0" applyFill="0" applyBorder="0" applyAlignment="0" applyProtection="0"/>
  </cellStyleXfs>
  <cellXfs count="1147">
    <xf numFmtId="0" fontId="0" fillId="0" borderId="0" xfId="0"/>
    <xf numFmtId="0" fontId="0" fillId="0" borderId="2" xfId="0" applyBorder="1"/>
    <xf numFmtId="0" fontId="0" fillId="0" borderId="0" xfId="0" applyAlignment="1">
      <alignment vertical="top"/>
    </xf>
    <xf numFmtId="167" fontId="0" fillId="0" borderId="0" xfId="1" applyNumberFormat="1" applyFont="1"/>
    <xf numFmtId="0" fontId="2" fillId="0" borderId="0" xfId="0" applyFont="1"/>
    <xf numFmtId="0" fontId="5" fillId="0" borderId="0" xfId="0" applyFont="1"/>
    <xf numFmtId="0" fontId="6" fillId="0" borderId="0" xfId="0" applyFont="1"/>
    <xf numFmtId="0" fontId="3" fillId="0" borderId="0" xfId="0" applyFont="1"/>
    <xf numFmtId="0" fontId="8" fillId="0" borderId="0" xfId="0" applyFont="1"/>
    <xf numFmtId="0" fontId="0" fillId="0" borderId="0" xfId="0" applyAlignment="1">
      <alignment horizontal="center"/>
    </xf>
    <xf numFmtId="0" fontId="0" fillId="0" borderId="1" xfId="0" applyBorder="1"/>
    <xf numFmtId="0" fontId="6" fillId="0" borderId="1" xfId="0" applyFont="1" applyBorder="1"/>
    <xf numFmtId="0" fontId="0" fillId="0" borderId="6" xfId="0" applyBorder="1"/>
    <xf numFmtId="0" fontId="0" fillId="0" borderId="0" xfId="0" applyAlignment="1">
      <alignment horizontal="center" vertical="center"/>
    </xf>
    <xf numFmtId="169" fontId="0" fillId="0" borderId="0" xfId="0" applyNumberFormat="1"/>
    <xf numFmtId="0" fontId="0" fillId="0" borderId="1" xfId="0" applyBorder="1" applyAlignment="1">
      <alignment vertical="center"/>
    </xf>
    <xf numFmtId="0" fontId="0" fillId="0" borderId="0" xfId="0" applyAlignment="1">
      <alignment horizontal="left"/>
    </xf>
    <xf numFmtId="0" fontId="0" fillId="0" borderId="7" xfId="0" applyBorder="1"/>
    <xf numFmtId="0" fontId="0" fillId="0" borderId="9" xfId="0" applyBorder="1"/>
    <xf numFmtId="167" fontId="0" fillId="0" borderId="13" xfId="1" applyNumberFormat="1" applyFont="1" applyBorder="1"/>
    <xf numFmtId="167" fontId="0" fillId="0" borderId="0" xfId="1" applyNumberFormat="1" applyFont="1" applyBorder="1"/>
    <xf numFmtId="167" fontId="0" fillId="0" borderId="9" xfId="1" applyNumberFormat="1" applyFont="1" applyBorder="1"/>
    <xf numFmtId="167" fontId="0" fillId="0" borderId="0" xfId="0" applyNumberFormat="1"/>
    <xf numFmtId="0" fontId="13" fillId="0" borderId="0" xfId="0" applyFont="1"/>
    <xf numFmtId="167" fontId="0" fillId="9" borderId="0" xfId="1" applyNumberFormat="1" applyFont="1" applyFill="1" applyBorder="1"/>
    <xf numFmtId="0" fontId="0" fillId="0" borderId="14" xfId="0" applyBorder="1"/>
    <xf numFmtId="167" fontId="0" fillId="0" borderId="2" xfId="1" applyNumberFormat="1" applyFont="1" applyBorder="1"/>
    <xf numFmtId="0" fontId="16" fillId="0" borderId="0" xfId="0" applyFont="1"/>
    <xf numFmtId="0" fontId="20" fillId="0" borderId="0" xfId="5" applyAlignment="1">
      <alignment vertical="center"/>
    </xf>
    <xf numFmtId="0" fontId="21" fillId="0" borderId="0" xfId="5" applyFont="1" applyAlignment="1">
      <alignment vertical="center"/>
    </xf>
    <xf numFmtId="0" fontId="19" fillId="0" borderId="0" xfId="5" applyFont="1" applyAlignment="1">
      <alignment vertical="center"/>
    </xf>
    <xf numFmtId="0" fontId="20" fillId="0" borderId="0" xfId="5"/>
    <xf numFmtId="0" fontId="19" fillId="0" borderId="0" xfId="5" applyFont="1"/>
    <xf numFmtId="0" fontId="21" fillId="0" borderId="0" xfId="5" applyFont="1"/>
    <xf numFmtId="167" fontId="20" fillId="0" borderId="0" xfId="5" applyNumberFormat="1"/>
    <xf numFmtId="169" fontId="20" fillId="0" borderId="0" xfId="5" applyNumberFormat="1"/>
    <xf numFmtId="0" fontId="0" fillId="0" borderId="13" xfId="0" applyBorder="1"/>
    <xf numFmtId="0" fontId="0" fillId="0" borderId="10" xfId="0" applyBorder="1"/>
    <xf numFmtId="0" fontId="6" fillId="0" borderId="10" xfId="0" applyFont="1" applyBorder="1"/>
    <xf numFmtId="0" fontId="6" fillId="0" borderId="13" xfId="0" applyFont="1" applyBorder="1"/>
    <xf numFmtId="0" fontId="6" fillId="0" borderId="8" xfId="0" applyFont="1" applyBorder="1"/>
    <xf numFmtId="8" fontId="0" fillId="0" borderId="10" xfId="0" applyNumberFormat="1" applyBorder="1"/>
    <xf numFmtId="0" fontId="20" fillId="0" borderId="13" xfId="5" applyBorder="1" applyAlignment="1">
      <alignment vertical="center"/>
    </xf>
    <xf numFmtId="0" fontId="6" fillId="0" borderId="9" xfId="0" applyFont="1" applyBorder="1"/>
    <xf numFmtId="44" fontId="0" fillId="0" borderId="0" xfId="0" applyNumberFormat="1"/>
    <xf numFmtId="0" fontId="0" fillId="0" borderId="9" xfId="0" applyBorder="1" applyAlignment="1">
      <alignment horizontal="left"/>
    </xf>
    <xf numFmtId="0" fontId="0" fillId="0" borderId="3" xfId="0" applyBorder="1"/>
    <xf numFmtId="0" fontId="0" fillId="7" borderId="3" xfId="0" applyFill="1" applyBorder="1"/>
    <xf numFmtId="171" fontId="0" fillId="0" borderId="0" xfId="0" applyNumberFormat="1"/>
    <xf numFmtId="0" fontId="28" fillId="0" borderId="0" xfId="0" quotePrefix="1" applyFont="1"/>
    <xf numFmtId="0" fontId="1" fillId="0" borderId="0" xfId="5" applyFont="1"/>
    <xf numFmtId="0" fontId="6" fillId="0" borderId="1" xfId="5" applyFont="1" applyBorder="1"/>
    <xf numFmtId="0" fontId="6" fillId="0" borderId="0" xfId="5" applyFont="1"/>
    <xf numFmtId="170" fontId="1" fillId="3" borderId="7" xfId="8" applyNumberFormat="1" applyFont="1" applyFill="1" applyBorder="1"/>
    <xf numFmtId="170" fontId="1" fillId="3" borderId="6" xfId="8" applyNumberFormat="1" applyFont="1" applyFill="1" applyBorder="1"/>
    <xf numFmtId="0" fontId="6" fillId="0" borderId="0" xfId="5" applyFont="1" applyAlignment="1">
      <alignment horizontal="left" vertical="top" wrapText="1"/>
    </xf>
    <xf numFmtId="0" fontId="3" fillId="0" borderId="0" xfId="5" applyFont="1"/>
    <xf numFmtId="0" fontId="0" fillId="0" borderId="12" xfId="0" applyBorder="1" applyAlignment="1">
      <alignment horizontal="left"/>
    </xf>
    <xf numFmtId="1" fontId="0" fillId="0" borderId="0" xfId="0" applyNumberFormat="1"/>
    <xf numFmtId="0" fontId="8" fillId="0" borderId="14" xfId="0" applyFont="1" applyBorder="1"/>
    <xf numFmtId="0" fontId="8" fillId="0" borderId="0" xfId="0" applyFont="1" applyAlignment="1">
      <alignment horizontal="center" vertical="center"/>
    </xf>
    <xf numFmtId="0" fontId="0" fillId="0" borderId="8" xfId="0" applyBorder="1"/>
    <xf numFmtId="167" fontId="0" fillId="0" borderId="14" xfId="1" applyNumberFormat="1" applyFont="1" applyBorder="1"/>
    <xf numFmtId="167" fontId="0" fillId="0" borderId="8" xfId="1" applyNumberFormat="1" applyFont="1" applyBorder="1"/>
    <xf numFmtId="167" fontId="19" fillId="0" borderId="3" xfId="0" applyNumberFormat="1" applyFont="1" applyBorder="1"/>
    <xf numFmtId="0" fontId="20" fillId="0" borderId="0" xfId="5" applyAlignment="1">
      <alignment horizontal="left"/>
    </xf>
    <xf numFmtId="168" fontId="6" fillId="6" borderId="1" xfId="0" applyNumberFormat="1" applyFont="1" applyFill="1" applyBorder="1" applyAlignment="1">
      <alignment horizontal="right"/>
    </xf>
    <xf numFmtId="4" fontId="0" fillId="6" borderId="1" xfId="0" applyNumberFormat="1" applyFill="1" applyBorder="1" applyAlignment="1">
      <alignment horizontal="right"/>
    </xf>
    <xf numFmtId="0" fontId="6" fillId="0" borderId="6" xfId="0" applyFont="1" applyBorder="1"/>
    <xf numFmtId="167" fontId="0" fillId="3" borderId="1" xfId="1" applyNumberFormat="1" applyFont="1" applyFill="1" applyBorder="1" applyAlignment="1">
      <alignment horizontal="right"/>
    </xf>
    <xf numFmtId="167" fontId="0" fillId="3" borderId="6" xfId="1" applyNumberFormat="1" applyFont="1" applyFill="1" applyBorder="1" applyAlignment="1">
      <alignment horizontal="right"/>
    </xf>
    <xf numFmtId="0" fontId="6" fillId="0" borderId="1" xfId="0" applyFont="1" applyBorder="1" applyAlignment="1">
      <alignment vertical="center"/>
    </xf>
    <xf numFmtId="0" fontId="0" fillId="13" borderId="4" xfId="0" applyFill="1" applyBorder="1"/>
    <xf numFmtId="10" fontId="0" fillId="13" borderId="17" xfId="0" applyNumberFormat="1" applyFill="1" applyBorder="1" applyAlignment="1">
      <alignment horizontal="right"/>
    </xf>
    <xf numFmtId="0" fontId="7" fillId="13" borderId="5" xfId="4" applyFill="1" applyBorder="1"/>
    <xf numFmtId="0" fontId="4" fillId="0" borderId="2" xfId="0" applyFont="1" applyBorder="1"/>
    <xf numFmtId="168" fontId="6" fillId="3" borderId="1" xfId="0" applyNumberFormat="1" applyFont="1" applyFill="1" applyBorder="1" applyAlignment="1">
      <alignment horizontal="right"/>
    </xf>
    <xf numFmtId="172" fontId="0" fillId="0" borderId="0" xfId="3" applyNumberFormat="1" applyFont="1"/>
    <xf numFmtId="165" fontId="6" fillId="3" borderId="1" xfId="0" applyNumberFormat="1" applyFont="1" applyFill="1" applyBorder="1" applyAlignment="1">
      <alignment horizontal="right"/>
    </xf>
    <xf numFmtId="9" fontId="6" fillId="3" borderId="1" xfId="0" applyNumberFormat="1" applyFont="1" applyFill="1" applyBorder="1" applyAlignment="1">
      <alignment horizontal="right"/>
    </xf>
    <xf numFmtId="44" fontId="0" fillId="0" borderId="0" xfId="2" applyFont="1" applyBorder="1"/>
    <xf numFmtId="44" fontId="0" fillId="0" borderId="9" xfId="2" applyFont="1" applyBorder="1"/>
    <xf numFmtId="44" fontId="0" fillId="0" borderId="2" xfId="2" applyFont="1" applyBorder="1"/>
    <xf numFmtId="44" fontId="0" fillId="0" borderId="8" xfId="2" applyFont="1" applyBorder="1"/>
    <xf numFmtId="44" fontId="0" fillId="0" borderId="0" xfId="2" applyFont="1"/>
    <xf numFmtId="44" fontId="8" fillId="0" borderId="3" xfId="2" applyFont="1" applyFill="1" applyBorder="1"/>
    <xf numFmtId="43" fontId="0" fillId="0" borderId="0" xfId="0" applyNumberFormat="1"/>
    <xf numFmtId="167" fontId="0" fillId="0" borderId="12" xfId="1" applyNumberFormat="1" applyFont="1" applyBorder="1"/>
    <xf numFmtId="0" fontId="6" fillId="0" borderId="7" xfId="0" applyFont="1" applyBorder="1"/>
    <xf numFmtId="4" fontId="6" fillId="3" borderId="1" xfId="0" applyNumberFormat="1" applyFont="1" applyFill="1" applyBorder="1" applyAlignment="1">
      <alignment horizontal="right"/>
    </xf>
    <xf numFmtId="167" fontId="6" fillId="3" borderId="1" xfId="1" applyNumberFormat="1" applyFont="1" applyFill="1" applyBorder="1" applyAlignment="1">
      <alignment horizontal="right"/>
    </xf>
    <xf numFmtId="170" fontId="0" fillId="0" borderId="0" xfId="1" applyNumberFormat="1" applyFont="1" applyAlignment="1">
      <alignment horizontal="center"/>
    </xf>
    <xf numFmtId="9" fontId="6" fillId="0" borderId="0" xfId="0" applyNumberFormat="1" applyFont="1" applyAlignment="1">
      <alignment horizontal="center"/>
    </xf>
    <xf numFmtId="0" fontId="4" fillId="0" borderId="7" xfId="0" applyFont="1" applyBorder="1"/>
    <xf numFmtId="0" fontId="4" fillId="0" borderId="1" xfId="0" applyFont="1" applyBorder="1"/>
    <xf numFmtId="0" fontId="4" fillId="0" borderId="6" xfId="0" applyFont="1" applyBorder="1"/>
    <xf numFmtId="0" fontId="4" fillId="0" borderId="11" xfId="0" applyFont="1" applyBorder="1"/>
    <xf numFmtId="0" fontId="4" fillId="0" borderId="0" xfId="0" applyFont="1"/>
    <xf numFmtId="0" fontId="4" fillId="13" borderId="17" xfId="0" applyFont="1" applyFill="1" applyBorder="1"/>
    <xf numFmtId="0" fontId="8" fillId="0" borderId="2" xfId="0" applyFont="1" applyBorder="1"/>
    <xf numFmtId="9" fontId="6" fillId="6" borderId="6" xfId="3" applyFont="1" applyFill="1" applyBorder="1" applyAlignment="1">
      <alignment horizontal="right"/>
    </xf>
    <xf numFmtId="168" fontId="6" fillId="3" borderId="1" xfId="2" applyNumberFormat="1" applyFont="1" applyFill="1" applyBorder="1" applyAlignment="1">
      <alignment horizontal="right"/>
    </xf>
    <xf numFmtId="0" fontId="36" fillId="0" borderId="0" xfId="5" applyFont="1"/>
    <xf numFmtId="9" fontId="36" fillId="0" borderId="0" xfId="5" applyNumberFormat="1" applyFont="1"/>
    <xf numFmtId="0" fontId="37" fillId="0" borderId="0" xfId="0" applyFont="1"/>
    <xf numFmtId="0" fontId="0" fillId="0" borderId="1" xfId="0" applyBorder="1" applyAlignment="1">
      <alignment horizontal="left"/>
    </xf>
    <xf numFmtId="0" fontId="0" fillId="0" borderId="6" xfId="0" applyBorder="1" applyAlignment="1">
      <alignment horizontal="left"/>
    </xf>
    <xf numFmtId="9" fontId="0" fillId="6" borderId="1" xfId="3" applyFont="1" applyFill="1" applyBorder="1" applyAlignment="1">
      <alignment horizontal="right"/>
    </xf>
    <xf numFmtId="167" fontId="0" fillId="6" borderId="7" xfId="1" applyNumberFormat="1" applyFont="1" applyFill="1" applyBorder="1" applyAlignment="1">
      <alignment horizontal="right"/>
    </xf>
    <xf numFmtId="9" fontId="6" fillId="3" borderId="9" xfId="3" applyFont="1" applyFill="1" applyBorder="1" applyAlignment="1">
      <alignment horizontal="right"/>
    </xf>
    <xf numFmtId="0" fontId="0" fillId="0" borderId="15" xfId="0" applyBorder="1"/>
    <xf numFmtId="0" fontId="4" fillId="0" borderId="18" xfId="0" applyFont="1" applyBorder="1"/>
    <xf numFmtId="9" fontId="0" fillId="6" borderId="18" xfId="3" applyFont="1" applyFill="1" applyBorder="1" applyAlignment="1">
      <alignment horizontal="right"/>
    </xf>
    <xf numFmtId="0" fontId="0" fillId="0" borderId="16" xfId="0" applyBorder="1" applyAlignment="1">
      <alignment horizontal="left"/>
    </xf>
    <xf numFmtId="0" fontId="32" fillId="0" borderId="2" xfId="0" applyFont="1" applyBorder="1"/>
    <xf numFmtId="0" fontId="32" fillId="0" borderId="6" xfId="0" applyFont="1" applyBorder="1"/>
    <xf numFmtId="0" fontId="32" fillId="9" borderId="8" xfId="0" applyFont="1" applyFill="1" applyBorder="1"/>
    <xf numFmtId="0" fontId="38" fillId="0" borderId="0" xfId="0" applyFont="1"/>
    <xf numFmtId="167" fontId="0" fillId="0" borderId="13" xfId="1" applyNumberFormat="1" applyFont="1" applyFill="1" applyBorder="1"/>
    <xf numFmtId="167" fontId="0" fillId="9" borderId="13" xfId="1" applyNumberFormat="1" applyFont="1" applyFill="1" applyBorder="1"/>
    <xf numFmtId="167" fontId="0" fillId="0" borderId="0" xfId="1" applyNumberFormat="1" applyFont="1" applyFill="1" applyBorder="1"/>
    <xf numFmtId="167" fontId="0" fillId="0" borderId="9" xfId="1" applyNumberFormat="1" applyFont="1" applyFill="1" applyBorder="1"/>
    <xf numFmtId="167" fontId="0" fillId="9" borderId="9" xfId="1" applyNumberFormat="1" applyFont="1" applyFill="1" applyBorder="1"/>
    <xf numFmtId="167" fontId="0" fillId="0" borderId="14" xfId="1" applyNumberFormat="1" applyFont="1" applyFill="1" applyBorder="1"/>
    <xf numFmtId="167" fontId="0" fillId="0" borderId="2" xfId="1" applyNumberFormat="1" applyFont="1" applyFill="1" applyBorder="1"/>
    <xf numFmtId="167" fontId="0" fillId="0" borderId="8" xfId="1" applyNumberFormat="1" applyFont="1" applyFill="1" applyBorder="1"/>
    <xf numFmtId="0" fontId="29" fillId="0" borderId="0" xfId="0" applyFont="1"/>
    <xf numFmtId="173" fontId="0" fillId="0" borderId="0" xfId="0" applyNumberFormat="1"/>
    <xf numFmtId="165" fontId="0" fillId="0" borderId="0" xfId="0" applyNumberFormat="1"/>
    <xf numFmtId="174" fontId="2" fillId="0" borderId="0" xfId="8" applyNumberFormat="1" applyFont="1" applyBorder="1"/>
    <xf numFmtId="14" fontId="0" fillId="0" borderId="0" xfId="0" applyNumberFormat="1"/>
    <xf numFmtId="0" fontId="0" fillId="15" borderId="0" xfId="0" applyFill="1"/>
    <xf numFmtId="167" fontId="23" fillId="0" borderId="0" xfId="0" applyNumberFormat="1" applyFont="1"/>
    <xf numFmtId="0" fontId="2" fillId="0" borderId="0" xfId="0" applyFont="1" applyAlignment="1">
      <alignment horizontal="left" vertical="top"/>
    </xf>
    <xf numFmtId="9" fontId="0" fillId="0" borderId="0" xfId="3" applyFont="1" applyFill="1" applyBorder="1"/>
    <xf numFmtId="2" fontId="37" fillId="0" borderId="0" xfId="1" applyNumberFormat="1" applyFont="1" applyFill="1"/>
    <xf numFmtId="167" fontId="36" fillId="0" borderId="0" xfId="8" applyNumberFormat="1" applyFont="1"/>
    <xf numFmtId="167" fontId="36" fillId="0" borderId="0" xfId="0" applyNumberFormat="1" applyFont="1"/>
    <xf numFmtId="43" fontId="37" fillId="0" borderId="0" xfId="1" applyFont="1" applyFill="1"/>
    <xf numFmtId="174" fontId="1" fillId="0" borderId="0" xfId="8" applyNumberFormat="1" applyFont="1" applyBorder="1"/>
    <xf numFmtId="9" fontId="6" fillId="3" borderId="1" xfId="3" applyFont="1" applyFill="1" applyBorder="1" applyAlignment="1">
      <alignment horizontal="right"/>
    </xf>
    <xf numFmtId="10" fontId="6" fillId="3" borderId="7" xfId="3" applyNumberFormat="1" applyFont="1" applyFill="1" applyBorder="1" applyAlignment="1">
      <alignment horizontal="right"/>
    </xf>
    <xf numFmtId="169" fontId="6" fillId="3" borderId="1" xfId="2" applyNumberFormat="1" applyFont="1" applyFill="1" applyBorder="1" applyAlignment="1">
      <alignment horizontal="right"/>
    </xf>
    <xf numFmtId="169" fontId="6" fillId="3" borderId="6" xfId="2" applyNumberFormat="1" applyFont="1" applyFill="1" applyBorder="1" applyAlignment="1">
      <alignment horizontal="right"/>
    </xf>
    <xf numFmtId="173" fontId="0" fillId="0" borderId="13" xfId="0" applyNumberFormat="1" applyBorder="1"/>
    <xf numFmtId="173" fontId="0" fillId="0" borderId="2" xfId="0" applyNumberFormat="1" applyBorder="1"/>
    <xf numFmtId="173" fontId="0" fillId="0" borderId="14" xfId="0" applyNumberFormat="1" applyBorder="1"/>
    <xf numFmtId="0" fontId="37" fillId="0" borderId="0" xfId="8" applyNumberFormat="1" applyFont="1" applyBorder="1"/>
    <xf numFmtId="0" fontId="37" fillId="0" borderId="0" xfId="8" applyNumberFormat="1" applyFont="1"/>
    <xf numFmtId="0" fontId="0" fillId="0" borderId="0" xfId="8" applyNumberFormat="1" applyFont="1"/>
    <xf numFmtId="0" fontId="5" fillId="0" borderId="0" xfId="0" applyFont="1" applyAlignment="1">
      <alignment horizontal="left" vertical="top"/>
    </xf>
    <xf numFmtId="0" fontId="36" fillId="0" borderId="0" xfId="8" applyNumberFormat="1" applyFont="1"/>
    <xf numFmtId="0" fontId="23" fillId="0" borderId="0" xfId="0" applyFont="1"/>
    <xf numFmtId="0" fontId="2" fillId="0" borderId="0" xfId="8" applyNumberFormat="1" applyFont="1"/>
    <xf numFmtId="0" fontId="38" fillId="0" borderId="0" xfId="0" applyFont="1" applyAlignment="1">
      <alignment horizontal="left" vertical="top"/>
    </xf>
    <xf numFmtId="167" fontId="0" fillId="0" borderId="1" xfId="1" applyNumberFormat="1" applyFont="1" applyFill="1" applyBorder="1"/>
    <xf numFmtId="167" fontId="0" fillId="0" borderId="6" xfId="1" applyNumberFormat="1" applyFont="1" applyFill="1" applyBorder="1"/>
    <xf numFmtId="0" fontId="38" fillId="0" borderId="0" xfId="0" applyFont="1" applyAlignment="1">
      <alignment horizontal="left" vertical="center"/>
    </xf>
    <xf numFmtId="167" fontId="6" fillId="3" borderId="13" xfId="1" applyNumberFormat="1" applyFont="1" applyFill="1" applyBorder="1" applyAlignment="1">
      <alignment horizontal="center"/>
    </xf>
    <xf numFmtId="0" fontId="19" fillId="0" borderId="12" xfId="5" applyFont="1" applyBorder="1" applyAlignment="1">
      <alignment horizontal="left" vertical="center"/>
    </xf>
    <xf numFmtId="0" fontId="19" fillId="0" borderId="9" xfId="5" applyFont="1" applyBorder="1" applyAlignment="1">
      <alignment horizontal="left" vertical="center"/>
    </xf>
    <xf numFmtId="175" fontId="0" fillId="0" borderId="0" xfId="0" applyNumberFormat="1"/>
    <xf numFmtId="43" fontId="1" fillId="0" borderId="0" xfId="8" applyFont="1" applyBorder="1"/>
    <xf numFmtId="0" fontId="0" fillId="0" borderId="0" xfId="8" applyNumberFormat="1" applyFont="1" applyFill="1" applyBorder="1"/>
    <xf numFmtId="167" fontId="6" fillId="0" borderId="0" xfId="8" applyNumberFormat="1" applyFont="1" applyBorder="1"/>
    <xf numFmtId="9" fontId="6" fillId="0" borderId="0" xfId="3" applyFont="1" applyFill="1" applyBorder="1"/>
    <xf numFmtId="167" fontId="1" fillId="0" borderId="0" xfId="1" applyNumberFormat="1" applyFont="1" applyFill="1" applyBorder="1"/>
    <xf numFmtId="0" fontId="0" fillId="0" borderId="12" xfId="0" applyBorder="1"/>
    <xf numFmtId="0" fontId="29" fillId="0" borderId="10" xfId="0" applyFont="1" applyBorder="1"/>
    <xf numFmtId="0" fontId="29" fillId="0" borderId="11" xfId="0" applyFont="1" applyBorder="1"/>
    <xf numFmtId="0" fontId="29" fillId="0" borderId="13" xfId="0" applyFont="1" applyBorder="1"/>
    <xf numFmtId="0" fontId="29" fillId="0" borderId="14" xfId="0" applyFont="1" applyBorder="1"/>
    <xf numFmtId="43" fontId="23" fillId="0" borderId="0" xfId="0" applyNumberFormat="1" applyFont="1"/>
    <xf numFmtId="0" fontId="4" fillId="0" borderId="13" xfId="0" applyFont="1" applyBorder="1"/>
    <xf numFmtId="0" fontId="46" fillId="0" borderId="0" xfId="5" applyFont="1"/>
    <xf numFmtId="167" fontId="20" fillId="0" borderId="0" xfId="1" applyNumberFormat="1" applyFont="1"/>
    <xf numFmtId="43" fontId="0" fillId="0" borderId="13" xfId="1" applyFont="1" applyFill="1" applyBorder="1"/>
    <xf numFmtId="43" fontId="0" fillId="0" borderId="14" xfId="1" applyFont="1" applyFill="1" applyBorder="1"/>
    <xf numFmtId="0" fontId="42" fillId="0" borderId="0" xfId="0" applyFont="1" applyAlignment="1">
      <alignment horizontal="center" wrapText="1"/>
    </xf>
    <xf numFmtId="0" fontId="47" fillId="0" borderId="22" xfId="0" applyFont="1" applyBorder="1" applyAlignment="1">
      <alignment horizontal="left"/>
    </xf>
    <xf numFmtId="0" fontId="0" fillId="0" borderId="0" xfId="0" applyAlignment="1">
      <alignment vertical="center"/>
    </xf>
    <xf numFmtId="0" fontId="0" fillId="0" borderId="13" xfId="0" applyBorder="1" applyAlignment="1">
      <alignment horizontal="left" indent="3"/>
    </xf>
    <xf numFmtId="0" fontId="6" fillId="0" borderId="21" xfId="0" applyFont="1" applyBorder="1" applyAlignment="1">
      <alignment horizontal="left"/>
    </xf>
    <xf numFmtId="0" fontId="42" fillId="0" borderId="1" xfId="0" applyFont="1" applyBorder="1" applyAlignment="1">
      <alignment horizontal="center" wrapText="1"/>
    </xf>
    <xf numFmtId="174" fontId="6" fillId="0" borderId="0" xfId="8" applyNumberFormat="1" applyFont="1" applyBorder="1"/>
    <xf numFmtId="0" fontId="37" fillId="0" borderId="9" xfId="8" applyNumberFormat="1" applyFont="1" applyBorder="1"/>
    <xf numFmtId="167" fontId="29" fillId="0" borderId="0" xfId="0" applyNumberFormat="1" applyFont="1"/>
    <xf numFmtId="167" fontId="48" fillId="0" borderId="0" xfId="0" applyNumberFormat="1" applyFont="1"/>
    <xf numFmtId="43" fontId="29" fillId="0" borderId="0" xfId="1" applyFont="1"/>
    <xf numFmtId="0" fontId="29" fillId="0" borderId="0" xfId="0" applyFont="1" applyAlignment="1">
      <alignment vertical="top" wrapText="1"/>
    </xf>
    <xf numFmtId="174" fontId="1" fillId="0" borderId="9" xfId="8" applyNumberFormat="1" applyFont="1" applyBorder="1"/>
    <xf numFmtId="0" fontId="42" fillId="0" borderId="23" xfId="0" applyFont="1" applyBorder="1" applyAlignment="1">
      <alignment horizontal="center" wrapText="1"/>
    </xf>
    <xf numFmtId="0" fontId="0" fillId="0" borderId="13" xfId="8" applyNumberFormat="1" applyFont="1" applyFill="1" applyBorder="1"/>
    <xf numFmtId="0" fontId="48" fillId="0" borderId="14" xfId="0" applyFont="1" applyBorder="1"/>
    <xf numFmtId="167" fontId="29" fillId="0" borderId="9" xfId="0" applyNumberFormat="1" applyFont="1" applyBorder="1"/>
    <xf numFmtId="0" fontId="29" fillId="0" borderId="12" xfId="0" applyFont="1" applyBorder="1"/>
    <xf numFmtId="167" fontId="48" fillId="0" borderId="2" xfId="0" applyNumberFormat="1" applyFont="1" applyBorder="1"/>
    <xf numFmtId="167" fontId="48" fillId="0" borderId="8" xfId="0" applyNumberFormat="1" applyFont="1" applyBorder="1"/>
    <xf numFmtId="0" fontId="0" fillId="8" borderId="3" xfId="0" applyFill="1" applyBorder="1"/>
    <xf numFmtId="0" fontId="0" fillId="19" borderId="3" xfId="0" applyFill="1" applyBorder="1"/>
    <xf numFmtId="0" fontId="0" fillId="10" borderId="3" xfId="0" applyFill="1" applyBorder="1"/>
    <xf numFmtId="0" fontId="0" fillId="20" borderId="3" xfId="0" applyFill="1" applyBorder="1"/>
    <xf numFmtId="0" fontId="9" fillId="9" borderId="3" xfId="0" applyFont="1" applyFill="1" applyBorder="1"/>
    <xf numFmtId="0" fontId="49" fillId="0" borderId="0" xfId="0" applyFont="1"/>
    <xf numFmtId="0" fontId="0" fillId="0" borderId="1" xfId="1" applyNumberFormat="1" applyFont="1" applyBorder="1"/>
    <xf numFmtId="0" fontId="0" fillId="0" borderId="6" xfId="1" applyNumberFormat="1" applyFont="1" applyBorder="1"/>
    <xf numFmtId="0" fontId="50" fillId="0" borderId="0" xfId="5" applyFont="1" applyAlignment="1">
      <alignment horizontal="left" vertical="center"/>
    </xf>
    <xf numFmtId="0" fontId="19" fillId="0" borderId="13" xfId="5" applyFont="1" applyBorder="1" applyAlignment="1">
      <alignment vertical="center"/>
    </xf>
    <xf numFmtId="167" fontId="19" fillId="0" borderId="13" xfId="1" applyNumberFormat="1" applyFont="1" applyBorder="1" applyAlignment="1">
      <alignment vertical="center"/>
    </xf>
    <xf numFmtId="43" fontId="8" fillId="9" borderId="0" xfId="8" applyFont="1" applyFill="1" applyBorder="1"/>
    <xf numFmtId="174" fontId="15" fillId="9" borderId="0" xfId="8" applyNumberFormat="1" applyFont="1" applyFill="1" applyBorder="1"/>
    <xf numFmtId="174" fontId="8" fillId="9" borderId="0" xfId="8" applyNumberFormat="1" applyFont="1" applyFill="1" applyBorder="1"/>
    <xf numFmtId="167" fontId="26" fillId="0" borderId="0" xfId="8" applyNumberFormat="1" applyFont="1" applyBorder="1"/>
    <xf numFmtId="167" fontId="26" fillId="0" borderId="9" xfId="8" applyNumberFormat="1" applyFont="1" applyBorder="1"/>
    <xf numFmtId="174" fontId="8" fillId="9" borderId="9" xfId="8" applyNumberFormat="1" applyFont="1" applyFill="1" applyBorder="1"/>
    <xf numFmtId="43" fontId="8" fillId="9" borderId="2" xfId="8" applyFont="1" applyFill="1" applyBorder="1"/>
    <xf numFmtId="174" fontId="15" fillId="9" borderId="2" xfId="8" applyNumberFormat="1" applyFont="1" applyFill="1" applyBorder="1"/>
    <xf numFmtId="175" fontId="8" fillId="9" borderId="2" xfId="0" applyNumberFormat="1" applyFont="1" applyFill="1" applyBorder="1"/>
    <xf numFmtId="174" fontId="8" fillId="9" borderId="2" xfId="8" applyNumberFormat="1" applyFont="1" applyFill="1" applyBorder="1"/>
    <xf numFmtId="174" fontId="8" fillId="9" borderId="8" xfId="8" applyNumberFormat="1" applyFont="1" applyFill="1" applyBorder="1"/>
    <xf numFmtId="167" fontId="26" fillId="0" borderId="2" xfId="8" applyNumberFormat="1" applyFont="1" applyBorder="1"/>
    <xf numFmtId="167" fontId="26" fillId="0" borderId="8" xfId="8" applyNumberFormat="1" applyFont="1" applyBorder="1"/>
    <xf numFmtId="167" fontId="1" fillId="0" borderId="13" xfId="1" applyNumberFormat="1" applyFont="1" applyFill="1" applyBorder="1"/>
    <xf numFmtId="0" fontId="52" fillId="0" borderId="0" xfId="5" applyFont="1"/>
    <xf numFmtId="0" fontId="19" fillId="0" borderId="4" xfId="5" applyFont="1" applyBorder="1" applyAlignment="1">
      <alignment vertical="center"/>
    </xf>
    <xf numFmtId="167" fontId="19" fillId="0" borderId="4" xfId="1" applyNumberFormat="1" applyFont="1" applyBorder="1" applyAlignment="1">
      <alignment vertical="center"/>
    </xf>
    <xf numFmtId="167" fontId="6" fillId="0" borderId="9" xfId="1" applyNumberFormat="1" applyFont="1" applyBorder="1"/>
    <xf numFmtId="166" fontId="0" fillId="0" borderId="8" xfId="1" applyNumberFormat="1" applyFont="1" applyFill="1" applyBorder="1"/>
    <xf numFmtId="0" fontId="39" fillId="0" borderId="10" xfId="5" applyFont="1" applyBorder="1" applyAlignment="1">
      <alignment vertical="center"/>
    </xf>
    <xf numFmtId="0" fontId="39" fillId="0" borderId="6" xfId="5" applyFont="1" applyBorder="1" applyAlignment="1">
      <alignment vertical="center"/>
    </xf>
    <xf numFmtId="0" fontId="6" fillId="0" borderId="8" xfId="0" applyFont="1" applyBorder="1" applyAlignment="1">
      <alignment vertical="center"/>
    </xf>
    <xf numFmtId="0" fontId="29" fillId="0" borderId="1" xfId="0" applyFont="1" applyBorder="1"/>
    <xf numFmtId="0" fontId="33" fillId="0" borderId="1" xfId="0" applyFont="1" applyBorder="1"/>
    <xf numFmtId="3" fontId="29" fillId="6" borderId="1" xfId="0" applyNumberFormat="1" applyFont="1" applyFill="1" applyBorder="1" applyAlignment="1">
      <alignment horizontal="right"/>
    </xf>
    <xf numFmtId="0" fontId="29" fillId="0" borderId="1" xfId="0" applyFont="1" applyBorder="1" applyAlignment="1">
      <alignment vertical="center"/>
    </xf>
    <xf numFmtId="0" fontId="53" fillId="0" borderId="0" xfId="0" applyFont="1"/>
    <xf numFmtId="0" fontId="54" fillId="0" borderId="0" xfId="0" applyFont="1"/>
    <xf numFmtId="43" fontId="53" fillId="0" borderId="0" xfId="0" applyNumberFormat="1" applyFont="1"/>
    <xf numFmtId="167" fontId="6" fillId="3" borderId="6" xfId="1" applyNumberFormat="1" applyFont="1" applyFill="1" applyBorder="1" applyAlignment="1">
      <alignment horizontal="right"/>
    </xf>
    <xf numFmtId="9" fontId="1" fillId="0" borderId="0" xfId="3" applyFont="1" applyBorder="1"/>
    <xf numFmtId="164" fontId="6" fillId="9" borderId="8" xfId="0" applyNumberFormat="1" applyFont="1" applyFill="1" applyBorder="1" applyAlignment="1">
      <alignment horizontal="right"/>
    </xf>
    <xf numFmtId="167" fontId="20" fillId="0" borderId="2" xfId="5" applyNumberFormat="1" applyBorder="1"/>
    <xf numFmtId="167" fontId="20" fillId="0" borderId="1" xfId="1" applyNumberFormat="1" applyFont="1" applyFill="1" applyBorder="1"/>
    <xf numFmtId="167" fontId="20" fillId="0" borderId="0" xfId="1" applyNumberFormat="1" applyFont="1" applyFill="1" applyBorder="1"/>
    <xf numFmtId="0" fontId="20" fillId="0" borderId="1" xfId="5" applyBorder="1" applyAlignment="1">
      <alignment horizontal="left" indent="2"/>
    </xf>
    <xf numFmtId="9" fontId="6" fillId="3" borderId="20" xfId="3" applyFont="1" applyFill="1" applyBorder="1" applyAlignment="1">
      <alignment horizontal="right"/>
    </xf>
    <xf numFmtId="0" fontId="41" fillId="0" borderId="9" xfId="0" applyFont="1" applyBorder="1" applyAlignment="1">
      <alignment horizontal="right"/>
    </xf>
    <xf numFmtId="0" fontId="6" fillId="0" borderId="20" xfId="0" applyFont="1" applyBorder="1"/>
    <xf numFmtId="0" fontId="0" fillId="0" borderId="9" xfId="0" applyBorder="1" applyAlignment="1">
      <alignment vertical="center"/>
    </xf>
    <xf numFmtId="44" fontId="6" fillId="3" borderId="0" xfId="2" applyFont="1" applyFill="1" applyBorder="1"/>
    <xf numFmtId="169" fontId="0" fillId="0" borderId="0" xfId="2" applyNumberFormat="1" applyFont="1" applyBorder="1"/>
    <xf numFmtId="0" fontId="0" fillId="0" borderId="13" xfId="0" applyBorder="1" applyAlignment="1">
      <alignment vertical="center"/>
    </xf>
    <xf numFmtId="167" fontId="0" fillId="3" borderId="0" xfId="1" applyNumberFormat="1" applyFont="1" applyFill="1" applyBorder="1" applyAlignment="1">
      <alignment vertical="center"/>
    </xf>
    <xf numFmtId="0" fontId="0" fillId="0" borderId="1" xfId="0" applyBorder="1" applyAlignment="1">
      <alignment horizontal="left" vertical="center" wrapText="1"/>
    </xf>
    <xf numFmtId="0" fontId="0" fillId="6" borderId="0" xfId="0" applyFill="1"/>
    <xf numFmtId="177" fontId="6" fillId="6" borderId="19" xfId="1" applyNumberFormat="1" applyFont="1" applyFill="1" applyBorder="1" applyAlignment="1">
      <alignment horizontal="right"/>
    </xf>
    <xf numFmtId="177" fontId="6" fillId="6" borderId="0" xfId="1" applyNumberFormat="1" applyFont="1" applyFill="1" applyBorder="1" applyAlignment="1">
      <alignment horizontal="right"/>
    </xf>
    <xf numFmtId="167" fontId="6" fillId="0" borderId="3" xfId="1" applyNumberFormat="1" applyFont="1" applyFill="1" applyBorder="1" applyAlignment="1">
      <alignment horizontal="left"/>
    </xf>
    <xf numFmtId="0" fontId="6" fillId="0" borderId="10" xfId="5" applyFont="1" applyBorder="1" applyAlignment="1">
      <alignment horizontal="left"/>
    </xf>
    <xf numFmtId="0" fontId="6" fillId="0" borderId="14" xfId="5" applyFont="1" applyBorder="1" applyAlignment="1">
      <alignment horizontal="left"/>
    </xf>
    <xf numFmtId="0" fontId="55" fillId="0" borderId="0" xfId="0" applyFont="1" applyAlignment="1">
      <alignment horizontal="left" vertical="center"/>
    </xf>
    <xf numFmtId="0" fontId="56" fillId="0" borderId="0" xfId="0" applyFont="1"/>
    <xf numFmtId="0" fontId="7" fillId="0" borderId="0" xfId="4" applyAlignment="1">
      <alignment horizontal="left" indent="2"/>
    </xf>
    <xf numFmtId="175" fontId="8" fillId="9" borderId="0" xfId="0" applyNumberFormat="1" applyFont="1" applyFill="1"/>
    <xf numFmtId="167" fontId="1" fillId="0" borderId="9" xfId="1" applyNumberFormat="1" applyFont="1" applyFill="1" applyBorder="1"/>
    <xf numFmtId="167" fontId="51" fillId="9" borderId="13" xfId="8" applyNumberFormat="1" applyFont="1" applyFill="1" applyBorder="1"/>
    <xf numFmtId="167" fontId="51" fillId="9" borderId="14" xfId="8" applyNumberFormat="1" applyFont="1" applyFill="1" applyBorder="1"/>
    <xf numFmtId="0" fontId="6" fillId="0" borderId="2" xfId="0" applyFont="1" applyBorder="1" applyAlignment="1">
      <alignment horizontal="right"/>
    </xf>
    <xf numFmtId="0" fontId="57" fillId="0" borderId="0" xfId="5" applyFont="1" applyAlignment="1">
      <alignment vertical="center"/>
    </xf>
    <xf numFmtId="0" fontId="58" fillId="0" borderId="0" xfId="5" applyFont="1"/>
    <xf numFmtId="0" fontId="57" fillId="0" borderId="0" xfId="5" applyFont="1"/>
    <xf numFmtId="0" fontId="60" fillId="0" borderId="0" xfId="0" applyFont="1"/>
    <xf numFmtId="0" fontId="61" fillId="0" borderId="0" xfId="0" applyFont="1"/>
    <xf numFmtId="0" fontId="0" fillId="0" borderId="0" xfId="0" applyAlignment="1">
      <alignment horizontal="left" vertical="top" wrapText="1"/>
    </xf>
    <xf numFmtId="0" fontId="27" fillId="22" borderId="3" xfId="0" applyFont="1" applyFill="1" applyBorder="1" applyAlignment="1">
      <alignment horizontal="center" vertical="top" wrapText="1"/>
    </xf>
    <xf numFmtId="0" fontId="12" fillId="12" borderId="7" xfId="0" applyFont="1" applyFill="1" applyBorder="1"/>
    <xf numFmtId="0" fontId="12" fillId="12" borderId="11" xfId="0" applyFont="1" applyFill="1" applyBorder="1"/>
    <xf numFmtId="0" fontId="12" fillId="12" borderId="17" xfId="0" applyFont="1" applyFill="1" applyBorder="1"/>
    <xf numFmtId="0" fontId="12" fillId="12" borderId="5" xfId="0" applyFont="1" applyFill="1" applyBorder="1"/>
    <xf numFmtId="0" fontId="12" fillId="12" borderId="10" xfId="0" applyFont="1" applyFill="1" applyBorder="1"/>
    <xf numFmtId="0" fontId="12" fillId="12" borderId="12" xfId="0" applyFont="1" applyFill="1" applyBorder="1"/>
    <xf numFmtId="0" fontId="9" fillId="12" borderId="13" xfId="0" applyFont="1" applyFill="1" applyBorder="1" applyAlignment="1">
      <alignment horizontal="left" vertical="top" wrapText="1"/>
    </xf>
    <xf numFmtId="0" fontId="9" fillId="12" borderId="0" xfId="0" applyFont="1" applyFill="1" applyAlignment="1">
      <alignment horizontal="left" vertical="top" wrapText="1"/>
    </xf>
    <xf numFmtId="0" fontId="9" fillId="12" borderId="9" xfId="0" applyFont="1" applyFill="1" applyBorder="1" applyAlignment="1">
      <alignment horizontal="left" vertical="top" wrapText="1"/>
    </xf>
    <xf numFmtId="0" fontId="12" fillId="12" borderId="14" xfId="0" applyFont="1" applyFill="1" applyBorder="1" applyAlignment="1">
      <alignment horizontal="left" vertical="center"/>
    </xf>
    <xf numFmtId="0" fontId="12" fillId="12" borderId="2" xfId="0" applyFont="1" applyFill="1" applyBorder="1" applyAlignment="1">
      <alignment horizontal="left" vertical="center"/>
    </xf>
    <xf numFmtId="0" fontId="40" fillId="12" borderId="2" xfId="0" applyFont="1" applyFill="1" applyBorder="1" applyAlignment="1">
      <alignment horizontal="left"/>
    </xf>
    <xf numFmtId="0" fontId="40" fillId="12" borderId="0" xfId="0" applyFont="1" applyFill="1" applyAlignment="1">
      <alignment horizontal="left"/>
    </xf>
    <xf numFmtId="0" fontId="40" fillId="12" borderId="9" xfId="0" applyFont="1" applyFill="1" applyBorder="1" applyAlignment="1">
      <alignment horizontal="left"/>
    </xf>
    <xf numFmtId="0" fontId="40" fillId="12" borderId="14" xfId="0" applyFont="1" applyFill="1" applyBorder="1" applyAlignment="1">
      <alignment horizontal="left"/>
    </xf>
    <xf numFmtId="0" fontId="40" fillId="12" borderId="1" xfId="0" applyFont="1" applyFill="1" applyBorder="1" applyAlignment="1">
      <alignment horizontal="left"/>
    </xf>
    <xf numFmtId="0" fontId="40" fillId="12" borderId="13" xfId="0" applyFont="1" applyFill="1" applyBorder="1" applyAlignment="1">
      <alignment horizontal="left"/>
    </xf>
    <xf numFmtId="0" fontId="60" fillId="12" borderId="5" xfId="0" applyFont="1" applyFill="1" applyBorder="1" applyAlignment="1">
      <alignment horizontal="left" vertical="top" wrapText="1"/>
    </xf>
    <xf numFmtId="0" fontId="9" fillId="12" borderId="13" xfId="0" applyFont="1" applyFill="1" applyBorder="1" applyAlignment="1">
      <alignment vertical="top" wrapText="1"/>
    </xf>
    <xf numFmtId="0" fontId="9" fillId="12" borderId="0" xfId="0" applyFont="1" applyFill="1" applyAlignment="1">
      <alignment vertical="top" wrapText="1"/>
    </xf>
    <xf numFmtId="0" fontId="9" fillId="12" borderId="9" xfId="0" applyFont="1" applyFill="1" applyBorder="1" applyAlignment="1">
      <alignment vertical="top" wrapText="1"/>
    </xf>
    <xf numFmtId="0" fontId="9" fillId="12" borderId="11" xfId="0" applyFont="1" applyFill="1" applyBorder="1" applyAlignment="1">
      <alignment vertical="top" wrapText="1"/>
    </xf>
    <xf numFmtId="0" fontId="9" fillId="12" borderId="12" xfId="0" applyFont="1" applyFill="1" applyBorder="1" applyAlignment="1">
      <alignment vertical="top" wrapText="1"/>
    </xf>
    <xf numFmtId="0" fontId="40" fillId="12" borderId="13" xfId="0" applyFont="1" applyFill="1" applyBorder="1" applyAlignment="1">
      <alignment horizontal="left" vertical="top" wrapText="1"/>
    </xf>
    <xf numFmtId="0" fontId="40" fillId="12" borderId="0" xfId="0" applyFont="1" applyFill="1" applyAlignment="1">
      <alignment horizontal="left" vertical="top" wrapText="1"/>
    </xf>
    <xf numFmtId="0" fontId="40" fillId="12" borderId="9" xfId="0" applyFont="1" applyFill="1" applyBorder="1" applyAlignment="1">
      <alignment horizontal="left" vertical="top" wrapText="1"/>
    </xf>
    <xf numFmtId="0" fontId="40" fillId="12" borderId="0" xfId="0" applyFont="1" applyFill="1" applyAlignment="1">
      <alignment wrapText="1"/>
    </xf>
    <xf numFmtId="0" fontId="40" fillId="12" borderId="9" xfId="0" applyFont="1" applyFill="1" applyBorder="1" applyAlignment="1">
      <alignment wrapText="1"/>
    </xf>
    <xf numFmtId="0" fontId="40" fillId="12" borderId="13" xfId="0" applyFont="1" applyFill="1" applyBorder="1" applyAlignment="1">
      <alignment wrapText="1"/>
    </xf>
    <xf numFmtId="0" fontId="9" fillId="12" borderId="0" xfId="0" applyFont="1" applyFill="1" applyAlignment="1">
      <alignment horizontal="left"/>
    </xf>
    <xf numFmtId="0" fontId="12" fillId="12" borderId="4" xfId="0" applyFont="1" applyFill="1" applyBorder="1" applyAlignment="1">
      <alignment horizontal="center" vertical="center"/>
    </xf>
    <xf numFmtId="0" fontId="12" fillId="12" borderId="17" xfId="0" applyFont="1" applyFill="1" applyBorder="1" applyAlignment="1">
      <alignment horizontal="center" vertical="center"/>
    </xf>
    <xf numFmtId="0" fontId="12" fillId="12" borderId="5" xfId="0" applyFont="1" applyFill="1" applyBorder="1" applyAlignment="1">
      <alignment horizontal="center" vertical="center"/>
    </xf>
    <xf numFmtId="0" fontId="12" fillId="12" borderId="10" xfId="0" applyFont="1" applyFill="1" applyBorder="1" applyAlignment="1">
      <alignment wrapText="1"/>
    </xf>
    <xf numFmtId="0" fontId="12" fillId="12" borderId="12" xfId="0" applyFont="1" applyFill="1" applyBorder="1" applyAlignment="1">
      <alignment wrapText="1"/>
    </xf>
    <xf numFmtId="0" fontId="9" fillId="12" borderId="7" xfId="0" applyFont="1" applyFill="1" applyBorder="1"/>
    <xf numFmtId="0" fontId="9" fillId="12" borderId="6" xfId="0" applyFont="1" applyFill="1" applyBorder="1"/>
    <xf numFmtId="0" fontId="9" fillId="12" borderId="14" xfId="0" applyFont="1" applyFill="1" applyBorder="1" applyAlignment="1">
      <alignment horizontal="left"/>
    </xf>
    <xf numFmtId="0" fontId="9" fillId="12" borderId="2" xfId="0" applyFont="1" applyFill="1" applyBorder="1" applyAlignment="1">
      <alignment horizontal="left"/>
    </xf>
    <xf numFmtId="0" fontId="9" fillId="12" borderId="8" xfId="0" applyFont="1" applyFill="1" applyBorder="1" applyAlignment="1">
      <alignment horizontal="left"/>
    </xf>
    <xf numFmtId="0" fontId="39" fillId="21" borderId="4" xfId="5" applyFont="1" applyFill="1" applyBorder="1"/>
    <xf numFmtId="0" fontId="39" fillId="21" borderId="17" xfId="5" applyFont="1" applyFill="1" applyBorder="1" applyAlignment="1">
      <alignment horizontal="left"/>
    </xf>
    <xf numFmtId="0" fontId="39" fillId="21" borderId="5" xfId="5" applyFont="1" applyFill="1" applyBorder="1" applyAlignment="1">
      <alignment horizontal="left"/>
    </xf>
    <xf numFmtId="9" fontId="6" fillId="0" borderId="13" xfId="3" applyFont="1" applyFill="1" applyBorder="1"/>
    <xf numFmtId="0" fontId="9" fillId="12" borderId="3" xfId="0" applyFont="1" applyFill="1" applyBorder="1" applyAlignment="1">
      <alignment horizontal="center" vertical="center"/>
    </xf>
    <xf numFmtId="0" fontId="14" fillId="12" borderId="3" xfId="0" applyFont="1" applyFill="1" applyBorder="1" applyAlignment="1">
      <alignment horizontal="left" vertical="top"/>
    </xf>
    <xf numFmtId="0" fontId="22" fillId="12" borderId="3" xfId="5" applyFont="1" applyFill="1" applyBorder="1" applyAlignment="1">
      <alignment vertical="center"/>
    </xf>
    <xf numFmtId="0" fontId="22" fillId="12" borderId="17" xfId="5" applyFont="1" applyFill="1" applyBorder="1" applyAlignment="1">
      <alignment vertical="center"/>
    </xf>
    <xf numFmtId="0" fontId="22" fillId="12" borderId="4" xfId="5" applyFont="1" applyFill="1" applyBorder="1" applyAlignment="1">
      <alignment vertical="center"/>
    </xf>
    <xf numFmtId="0" fontId="22" fillId="12" borderId="5" xfId="5" applyFont="1" applyFill="1" applyBorder="1" applyAlignment="1">
      <alignment vertical="center"/>
    </xf>
    <xf numFmtId="0" fontId="22" fillId="12" borderId="5" xfId="5" applyFont="1" applyFill="1" applyBorder="1" applyAlignment="1">
      <alignment horizontal="left" vertical="top" wrapText="1"/>
    </xf>
    <xf numFmtId="0" fontId="22" fillId="12" borderId="17" xfId="5" applyFont="1" applyFill="1" applyBorder="1" applyAlignment="1">
      <alignment horizontal="left" vertical="top" wrapText="1"/>
    </xf>
    <xf numFmtId="0" fontId="22" fillId="12" borderId="3" xfId="5" applyFont="1" applyFill="1" applyBorder="1" applyAlignment="1">
      <alignment horizontal="left" vertical="top" wrapText="1"/>
    </xf>
    <xf numFmtId="0" fontId="12" fillId="12" borderId="3" xfId="0" applyFont="1" applyFill="1" applyBorder="1"/>
    <xf numFmtId="0" fontId="64" fillId="0" borderId="0" xfId="0" applyFont="1"/>
    <xf numFmtId="167" fontId="19" fillId="9" borderId="9" xfId="1" applyNumberFormat="1" applyFont="1" applyFill="1" applyBorder="1" applyAlignment="1">
      <alignment vertical="center"/>
    </xf>
    <xf numFmtId="167" fontId="19" fillId="0" borderId="5" xfId="1" applyNumberFormat="1" applyFont="1" applyBorder="1" applyAlignment="1">
      <alignment vertical="center"/>
    </xf>
    <xf numFmtId="0" fontId="39" fillId="9" borderId="10" xfId="5" applyFont="1" applyFill="1" applyBorder="1" applyAlignment="1">
      <alignment vertical="center"/>
    </xf>
    <xf numFmtId="167" fontId="39" fillId="0" borderId="12" xfId="5" applyNumberFormat="1" applyFont="1" applyBorder="1" applyAlignment="1">
      <alignment vertical="center"/>
    </xf>
    <xf numFmtId="0" fontId="19" fillId="9" borderId="14" xfId="5" applyFont="1" applyFill="1" applyBorder="1" applyAlignment="1">
      <alignment vertical="center"/>
    </xf>
    <xf numFmtId="9" fontId="39" fillId="0" borderId="8" xfId="3" applyFont="1" applyBorder="1" applyAlignment="1">
      <alignment vertical="center"/>
    </xf>
    <xf numFmtId="167" fontId="19" fillId="0" borderId="9" xfId="1" applyNumberFormat="1" applyFont="1" applyFill="1" applyBorder="1" applyAlignment="1">
      <alignment vertical="center"/>
    </xf>
    <xf numFmtId="0" fontId="30" fillId="12" borderId="4" xfId="5" applyFont="1" applyFill="1" applyBorder="1" applyAlignment="1">
      <alignment vertical="top"/>
    </xf>
    <xf numFmtId="0" fontId="9" fillId="12" borderId="4" xfId="0" applyFont="1" applyFill="1" applyBorder="1"/>
    <xf numFmtId="0" fontId="9" fillId="12" borderId="17" xfId="0" applyFont="1" applyFill="1" applyBorder="1"/>
    <xf numFmtId="43" fontId="9" fillId="12" borderId="17" xfId="8" applyFont="1" applyFill="1" applyBorder="1"/>
    <xf numFmtId="174" fontId="9" fillId="12" borderId="17" xfId="8" applyNumberFormat="1" applyFont="1" applyFill="1" applyBorder="1"/>
    <xf numFmtId="175" fontId="9" fillId="12" borderId="17" xfId="0" applyNumberFormat="1" applyFont="1" applyFill="1" applyBorder="1"/>
    <xf numFmtId="9" fontId="9" fillId="12" borderId="17" xfId="3" applyFont="1" applyFill="1" applyBorder="1"/>
    <xf numFmtId="167" fontId="9" fillId="12" borderId="17" xfId="1" applyNumberFormat="1" applyFont="1" applyFill="1" applyBorder="1"/>
    <xf numFmtId="167" fontId="9" fillId="12" borderId="17" xfId="8" applyNumberFormat="1" applyFont="1" applyFill="1" applyBorder="1"/>
    <xf numFmtId="0" fontId="9" fillId="12" borderId="5" xfId="8" applyNumberFormat="1" applyFont="1" applyFill="1" applyBorder="1"/>
    <xf numFmtId="0" fontId="9" fillId="12" borderId="17" xfId="8" applyNumberFormat="1" applyFont="1" applyFill="1" applyBorder="1"/>
    <xf numFmtId="0" fontId="19" fillId="13" borderId="6" xfId="0" applyFont="1" applyFill="1" applyBorder="1"/>
    <xf numFmtId="167" fontId="19" fillId="23" borderId="3" xfId="0" applyNumberFormat="1" applyFont="1" applyFill="1" applyBorder="1"/>
    <xf numFmtId="0" fontId="19" fillId="0" borderId="6" xfId="0" applyFont="1" applyBorder="1" applyAlignment="1">
      <alignment horizontal="left" indent="2"/>
    </xf>
    <xf numFmtId="0" fontId="66" fillId="0" borderId="0" xfId="5" applyFont="1"/>
    <xf numFmtId="0" fontId="27" fillId="12" borderId="10" xfId="5" applyFont="1" applyFill="1" applyBorder="1" applyAlignment="1">
      <alignment horizontal="center" vertical="center" wrapText="1"/>
    </xf>
    <xf numFmtId="44" fontId="8" fillId="0" borderId="0" xfId="2" applyFont="1" applyFill="1"/>
    <xf numFmtId="0" fontId="48" fillId="0" borderId="10" xfId="5" applyFont="1" applyBorder="1" applyAlignment="1" applyProtection="1">
      <alignment horizontal="left" vertical="center" wrapText="1"/>
      <protection locked="0"/>
    </xf>
    <xf numFmtId="0" fontId="0" fillId="0" borderId="11" xfId="0" applyBorder="1"/>
    <xf numFmtId="0" fontId="0" fillId="0" borderId="10" xfId="0" applyBorder="1" applyAlignment="1">
      <alignment horizontal="left"/>
    </xf>
    <xf numFmtId="169" fontId="0" fillId="0" borderId="2" xfId="2" applyNumberFormat="1" applyFont="1" applyBorder="1"/>
    <xf numFmtId="0" fontId="6" fillId="0" borderId="10" xfId="0" applyFont="1" applyBorder="1" applyAlignment="1">
      <alignment vertical="center"/>
    </xf>
    <xf numFmtId="0" fontId="19" fillId="0" borderId="12" xfId="5" applyFont="1" applyBorder="1" applyAlignment="1">
      <alignment vertical="center"/>
    </xf>
    <xf numFmtId="0" fontId="6" fillId="0" borderId="14" xfId="0" applyFont="1" applyBorder="1" applyAlignment="1">
      <alignment vertical="center"/>
    </xf>
    <xf numFmtId="0" fontId="19" fillId="0" borderId="8" xfId="5" applyFont="1" applyBorder="1" applyAlignment="1">
      <alignment vertical="center"/>
    </xf>
    <xf numFmtId="0" fontId="6" fillId="0" borderId="7" xfId="0" applyFont="1" applyBorder="1" applyAlignment="1">
      <alignment vertical="center"/>
    </xf>
    <xf numFmtId="0" fontId="6" fillId="0" borderId="6" xfId="0" applyFont="1" applyBorder="1" applyAlignment="1">
      <alignment vertical="center"/>
    </xf>
    <xf numFmtId="0" fontId="68" fillId="12" borderId="0" xfId="5" applyFont="1" applyFill="1" applyAlignment="1">
      <alignment vertical="center"/>
    </xf>
    <xf numFmtId="0" fontId="69" fillId="12" borderId="0" xfId="5" applyFont="1" applyFill="1" applyAlignment="1">
      <alignment vertical="center"/>
    </xf>
    <xf numFmtId="0" fontId="25" fillId="0" borderId="0" xfId="5" applyFont="1" applyAlignment="1">
      <alignment vertical="center"/>
    </xf>
    <xf numFmtId="0" fontId="0" fillId="0" borderId="24" xfId="0" applyBorder="1" applyAlignment="1">
      <alignment vertical="top"/>
    </xf>
    <xf numFmtId="0" fontId="0" fillId="0" borderId="25" xfId="0" applyBorder="1" applyAlignment="1">
      <alignment vertical="top"/>
    </xf>
    <xf numFmtId="0" fontId="0" fillId="0" borderId="26" xfId="0" applyBorder="1" applyAlignment="1">
      <alignment vertical="top"/>
    </xf>
    <xf numFmtId="9" fontId="0" fillId="0" borderId="25" xfId="0" applyNumberFormat="1" applyBorder="1" applyAlignment="1">
      <alignment horizontal="left" vertical="top"/>
    </xf>
    <xf numFmtId="0" fontId="0" fillId="0" borderId="27" xfId="0" applyBorder="1" applyAlignment="1">
      <alignment vertical="top"/>
    </xf>
    <xf numFmtId="0" fontId="0" fillId="0" borderId="28" xfId="0" applyBorder="1" applyAlignment="1">
      <alignment vertical="top"/>
    </xf>
    <xf numFmtId="0" fontId="9" fillId="12" borderId="2" xfId="0" applyFont="1" applyFill="1" applyBorder="1" applyAlignment="1">
      <alignment horizontal="left" vertical="top" wrapText="1"/>
    </xf>
    <xf numFmtId="0" fontId="24" fillId="0" borderId="0" xfId="13"/>
    <xf numFmtId="0" fontId="71" fillId="0" borderId="0" xfId="0" applyFont="1"/>
    <xf numFmtId="0" fontId="6" fillId="6" borderId="7" xfId="0" applyFont="1" applyFill="1" applyBorder="1" applyAlignment="1">
      <alignment horizontal="right"/>
    </xf>
    <xf numFmtId="0" fontId="0" fillId="0" borderId="0" xfId="0" applyAlignment="1">
      <alignment wrapText="1"/>
    </xf>
    <xf numFmtId="9" fontId="6" fillId="6" borderId="1" xfId="3" applyFont="1" applyFill="1" applyBorder="1" applyAlignment="1">
      <alignment horizontal="right"/>
    </xf>
    <xf numFmtId="0" fontId="0" fillId="0" borderId="29" xfId="0" applyBorder="1" applyAlignment="1">
      <alignment vertical="top"/>
    </xf>
    <xf numFmtId="0" fontId="34" fillId="0" borderId="0" xfId="5" applyFont="1"/>
    <xf numFmtId="1" fontId="2" fillId="0" borderId="0" xfId="0" applyNumberFormat="1" applyFont="1"/>
    <xf numFmtId="0" fontId="0" fillId="0" borderId="0" xfId="0" quotePrefix="1"/>
    <xf numFmtId="0" fontId="2" fillId="0" borderId="0" xfId="0" quotePrefix="1" applyFont="1"/>
    <xf numFmtId="0" fontId="8" fillId="0" borderId="3" xfId="0" applyFont="1" applyBorder="1"/>
    <xf numFmtId="0" fontId="35" fillId="0" borderId="0" xfId="0" applyFont="1"/>
    <xf numFmtId="3" fontId="6" fillId="3" borderId="1" xfId="0" applyNumberFormat="1" applyFont="1" applyFill="1" applyBorder="1" applyAlignment="1">
      <alignment horizontal="right"/>
    </xf>
    <xf numFmtId="1" fontId="6" fillId="3" borderId="1" xfId="0" applyNumberFormat="1" applyFont="1" applyFill="1" applyBorder="1" applyAlignment="1">
      <alignment horizontal="right"/>
    </xf>
    <xf numFmtId="9" fontId="0" fillId="3" borderId="1" xfId="3" applyFont="1" applyFill="1" applyBorder="1" applyAlignment="1">
      <alignment horizontal="right"/>
    </xf>
    <xf numFmtId="0" fontId="14" fillId="12" borderId="4" xfId="0" applyFont="1" applyFill="1" applyBorder="1" applyAlignment="1">
      <alignment horizontal="left" vertical="top"/>
    </xf>
    <xf numFmtId="0" fontId="14" fillId="12" borderId="5" xfId="0" applyFont="1" applyFill="1" applyBorder="1" applyAlignment="1">
      <alignment horizontal="left" vertical="top"/>
    </xf>
    <xf numFmtId="0" fontId="2" fillId="0" borderId="6" xfId="0" applyFont="1" applyBorder="1"/>
    <xf numFmtId="167" fontId="0" fillId="3" borderId="9" xfId="1" applyNumberFormat="1" applyFont="1" applyFill="1" applyBorder="1"/>
    <xf numFmtId="43" fontId="0" fillId="3" borderId="9" xfId="1" applyFont="1" applyFill="1" applyBorder="1"/>
    <xf numFmtId="0" fontId="73" fillId="0" borderId="0" xfId="0" applyFont="1"/>
    <xf numFmtId="166" fontId="73" fillId="0" borderId="0" xfId="1" applyNumberFormat="1" applyFont="1"/>
    <xf numFmtId="167" fontId="73" fillId="0" borderId="0" xfId="1" applyNumberFormat="1" applyFont="1"/>
    <xf numFmtId="169" fontId="71" fillId="0" borderId="0" xfId="2" applyNumberFormat="1" applyFont="1"/>
    <xf numFmtId="43" fontId="73" fillId="0" borderId="0" xfId="1" applyFont="1" applyFill="1" applyBorder="1"/>
    <xf numFmtId="4" fontId="73" fillId="0" borderId="0" xfId="0" applyNumberFormat="1" applyFont="1" applyAlignment="1">
      <alignment horizontal="right"/>
    </xf>
    <xf numFmtId="167" fontId="73" fillId="0" borderId="0" xfId="1" applyNumberFormat="1" applyFont="1" applyFill="1" applyBorder="1"/>
    <xf numFmtId="9" fontId="73" fillId="0" borderId="0" xfId="0" applyNumberFormat="1" applyFont="1"/>
    <xf numFmtId="3" fontId="73" fillId="0" borderId="0" xfId="0" applyNumberFormat="1" applyFont="1" applyAlignment="1">
      <alignment horizontal="right"/>
    </xf>
    <xf numFmtId="1" fontId="0" fillId="6" borderId="6" xfId="0" applyNumberFormat="1" applyFill="1" applyBorder="1" applyAlignment="1">
      <alignment horizontal="right"/>
    </xf>
    <xf numFmtId="10" fontId="0" fillId="13" borderId="11" xfId="0" applyNumberFormat="1" applyFill="1" applyBorder="1" applyAlignment="1">
      <alignment horizontal="right"/>
    </xf>
    <xf numFmtId="167" fontId="73" fillId="0" borderId="0" xfId="0" applyNumberFormat="1" applyFont="1"/>
    <xf numFmtId="0" fontId="0" fillId="25" borderId="0" xfId="0" applyFill="1"/>
    <xf numFmtId="167" fontId="2" fillId="0" borderId="0" xfId="0" applyNumberFormat="1" applyFont="1"/>
    <xf numFmtId="0" fontId="0" fillId="3" borderId="0" xfId="0" applyFill="1"/>
    <xf numFmtId="165" fontId="6" fillId="6" borderId="1" xfId="0" applyNumberFormat="1" applyFont="1" applyFill="1" applyBorder="1" applyAlignment="1">
      <alignment horizontal="right"/>
    </xf>
    <xf numFmtId="0" fontId="6" fillId="0" borderId="3" xfId="0" applyFont="1" applyBorder="1" applyAlignment="1">
      <alignment horizontal="left" vertical="top" wrapText="1"/>
    </xf>
    <xf numFmtId="0" fontId="0" fillId="0" borderId="27" xfId="0" applyBorder="1" applyAlignment="1">
      <alignment horizontal="left" vertical="top" wrapText="1"/>
    </xf>
    <xf numFmtId="167" fontId="0" fillId="0" borderId="31" xfId="1" applyNumberFormat="1" applyFont="1" applyFill="1" applyBorder="1" applyAlignment="1">
      <alignment vertical="top"/>
    </xf>
    <xf numFmtId="167" fontId="0" fillId="0" borderId="38" xfId="1" applyNumberFormat="1" applyFont="1" applyBorder="1" applyAlignment="1">
      <alignment horizontal="left" vertical="top" wrapText="1"/>
    </xf>
    <xf numFmtId="169" fontId="0" fillId="0" borderId="0" xfId="2" applyNumberFormat="1" applyFont="1" applyFill="1" applyBorder="1"/>
    <xf numFmtId="0" fontId="0" fillId="0" borderId="0" xfId="0" quotePrefix="1" applyAlignment="1">
      <alignment horizontal="left" indent="1"/>
    </xf>
    <xf numFmtId="0" fontId="6" fillId="0" borderId="0" xfId="0" quotePrefix="1" applyFont="1" applyAlignment="1">
      <alignment horizontal="left" indent="1"/>
    </xf>
    <xf numFmtId="0" fontId="32" fillId="0" borderId="0" xfId="0" applyFont="1"/>
    <xf numFmtId="167" fontId="20" fillId="0" borderId="13" xfId="5" applyNumberFormat="1" applyBorder="1"/>
    <xf numFmtId="167" fontId="20" fillId="0" borderId="14" xfId="5" applyNumberFormat="1" applyBorder="1"/>
    <xf numFmtId="0" fontId="22" fillId="12" borderId="4" xfId="5" applyFont="1" applyFill="1" applyBorder="1" applyAlignment="1">
      <alignment horizontal="left" vertical="top" wrapText="1"/>
    </xf>
    <xf numFmtId="167" fontId="6" fillId="3" borderId="7" xfId="1" applyNumberFormat="1" applyFont="1" applyFill="1" applyBorder="1" applyAlignment="1">
      <alignment horizontal="right"/>
    </xf>
    <xf numFmtId="0" fontId="6" fillId="0" borderId="12" xfId="0" applyFont="1" applyBorder="1"/>
    <xf numFmtId="0" fontId="4" fillId="0" borderId="10" xfId="0" applyFont="1" applyBorder="1"/>
    <xf numFmtId="0" fontId="4" fillId="0" borderId="14" xfId="0" applyFont="1" applyBorder="1"/>
    <xf numFmtId="167" fontId="0" fillId="0" borderId="39" xfId="1" applyNumberFormat="1" applyFont="1" applyBorder="1" applyAlignment="1">
      <alignment horizontal="left" vertical="top" wrapText="1"/>
    </xf>
    <xf numFmtId="167" fontId="0" fillId="0" borderId="39" xfId="1" applyNumberFormat="1" applyFont="1" applyFill="1" applyBorder="1" applyAlignment="1">
      <alignment horizontal="left" vertical="top"/>
    </xf>
    <xf numFmtId="167" fontId="0" fillId="0" borderId="30" xfId="1" applyNumberFormat="1" applyFont="1" applyFill="1" applyBorder="1" applyAlignment="1">
      <alignment vertical="top"/>
    </xf>
    <xf numFmtId="0" fontId="0" fillId="0" borderId="0" xfId="0" quotePrefix="1" applyAlignment="1">
      <alignment horizontal="left" indent="3"/>
    </xf>
    <xf numFmtId="0" fontId="6" fillId="0" borderId="13" xfId="0" applyFont="1" applyBorder="1" applyAlignment="1">
      <alignment horizontal="left" indent="2"/>
    </xf>
    <xf numFmtId="39" fontId="6" fillId="0" borderId="6" xfId="0" applyNumberFormat="1" applyFont="1" applyBorder="1"/>
    <xf numFmtId="39" fontId="6" fillId="0" borderId="1" xfId="0" applyNumberFormat="1" applyFont="1" applyBorder="1"/>
    <xf numFmtId="167" fontId="20" fillId="0" borderId="1" xfId="5" applyNumberFormat="1" applyBorder="1"/>
    <xf numFmtId="167" fontId="20" fillId="0" borderId="6" xfId="5" applyNumberFormat="1" applyBorder="1"/>
    <xf numFmtId="0" fontId="29" fillId="0" borderId="13" xfId="0" applyFont="1" applyBorder="1" applyAlignment="1">
      <alignment vertical="top"/>
    </xf>
    <xf numFmtId="0" fontId="48" fillId="0" borderId="0" xfId="0" applyFont="1" applyAlignment="1">
      <alignment vertical="top"/>
    </xf>
    <xf numFmtId="0" fontId="48" fillId="0" borderId="0" xfId="0" applyFont="1" applyAlignment="1">
      <alignment vertical="top" wrapText="1"/>
    </xf>
    <xf numFmtId="0" fontId="48" fillId="0" borderId="9" xfId="0" applyFont="1" applyBorder="1" applyAlignment="1">
      <alignment vertical="top"/>
    </xf>
    <xf numFmtId="167" fontId="0" fillId="0" borderId="0" xfId="1" applyNumberFormat="1" applyFont="1" applyFill="1" applyBorder="1" applyAlignment="1">
      <alignment horizontal="left" vertical="top"/>
    </xf>
    <xf numFmtId="167" fontId="0" fillId="0" borderId="39" xfId="1" applyNumberFormat="1" applyFont="1" applyFill="1" applyBorder="1" applyAlignment="1">
      <alignment horizontal="left" vertical="top" wrapText="1"/>
    </xf>
    <xf numFmtId="167" fontId="0" fillId="0" borderId="43" xfId="1" applyNumberFormat="1" applyFont="1" applyFill="1" applyBorder="1" applyAlignment="1">
      <alignment horizontal="left" vertical="top"/>
    </xf>
    <xf numFmtId="167" fontId="0" fillId="0" borderId="31" xfId="1" applyNumberFormat="1" applyFont="1" applyBorder="1" applyAlignment="1">
      <alignment horizontal="left" vertical="top" wrapText="1"/>
    </xf>
    <xf numFmtId="0" fontId="0" fillId="0" borderId="4" xfId="0" applyBorder="1" applyAlignment="1">
      <alignment vertical="top"/>
    </xf>
    <xf numFmtId="167" fontId="0" fillId="0" borderId="17" xfId="1" applyNumberFormat="1" applyFont="1" applyBorder="1" applyAlignment="1">
      <alignment vertical="top"/>
    </xf>
    <xf numFmtId="167" fontId="0" fillId="0" borderId="5" xfId="1" applyNumberFormat="1" applyFont="1" applyBorder="1" applyAlignment="1">
      <alignment vertical="top"/>
    </xf>
    <xf numFmtId="0" fontId="9" fillId="12" borderId="46" xfId="0" applyFont="1" applyFill="1" applyBorder="1" applyAlignment="1">
      <alignment horizontal="left" vertical="top" wrapText="1"/>
    </xf>
    <xf numFmtId="0" fontId="9" fillId="12" borderId="47" xfId="0" applyFont="1" applyFill="1" applyBorder="1" applyAlignment="1">
      <alignment horizontal="left" vertical="top" wrapText="1"/>
    </xf>
    <xf numFmtId="9" fontId="0" fillId="0" borderId="48" xfId="0" applyNumberFormat="1" applyBorder="1" applyAlignment="1">
      <alignment horizontal="left" vertical="top"/>
    </xf>
    <xf numFmtId="167" fontId="0" fillId="0" borderId="31" xfId="1" applyNumberFormat="1" applyFont="1" applyFill="1" applyBorder="1" applyAlignment="1">
      <alignment horizontal="left" vertical="top" wrapText="1"/>
    </xf>
    <xf numFmtId="167" fontId="0" fillId="0" borderId="44" xfId="1" applyNumberFormat="1" applyFont="1" applyFill="1" applyBorder="1" applyAlignment="1">
      <alignment horizontal="left" vertical="top"/>
    </xf>
    <xf numFmtId="167" fontId="0" fillId="0" borderId="45" xfId="1" applyNumberFormat="1" applyFont="1" applyFill="1" applyBorder="1" applyAlignment="1">
      <alignment horizontal="left" vertical="top"/>
    </xf>
    <xf numFmtId="167" fontId="0" fillId="0" borderId="44" xfId="1" applyNumberFormat="1" applyFont="1" applyBorder="1" applyAlignment="1">
      <alignment horizontal="left" vertical="top"/>
    </xf>
    <xf numFmtId="167" fontId="0" fillId="0" borderId="45" xfId="1" applyNumberFormat="1" applyFont="1" applyBorder="1" applyAlignment="1">
      <alignment horizontal="left" vertical="top"/>
    </xf>
    <xf numFmtId="167" fontId="0" fillId="0" borderId="43" xfId="1" applyNumberFormat="1" applyFont="1" applyBorder="1" applyAlignment="1">
      <alignment horizontal="left" vertical="top"/>
    </xf>
    <xf numFmtId="9" fontId="0" fillId="0" borderId="27" xfId="0" applyNumberFormat="1" applyBorder="1" applyAlignment="1">
      <alignment horizontal="left" vertical="top" wrapText="1"/>
    </xf>
    <xf numFmtId="167" fontId="0" fillId="0" borderId="39" xfId="1" applyNumberFormat="1" applyFont="1" applyFill="1" applyBorder="1" applyAlignment="1">
      <alignment vertical="top"/>
    </xf>
    <xf numFmtId="167" fontId="0" fillId="0" borderId="37" xfId="1" applyNumberFormat="1" applyFont="1" applyBorder="1" applyAlignment="1">
      <alignment horizontal="left" vertical="top"/>
    </xf>
    <xf numFmtId="167" fontId="0" fillId="0" borderId="38" xfId="1" applyNumberFormat="1" applyFont="1" applyBorder="1" applyAlignment="1">
      <alignment horizontal="left" vertical="top"/>
    </xf>
    <xf numFmtId="167" fontId="0" fillId="0" borderId="0" xfId="1" applyNumberFormat="1" applyFont="1" applyBorder="1" applyAlignment="1">
      <alignment horizontal="left" vertical="top"/>
    </xf>
    <xf numFmtId="167" fontId="0" fillId="0" borderId="9" xfId="1" applyNumberFormat="1" applyFont="1" applyFill="1" applyBorder="1" applyAlignment="1">
      <alignment horizontal="left" vertical="top"/>
    </xf>
    <xf numFmtId="0" fontId="0" fillId="0" borderId="14" xfId="0" applyBorder="1" applyAlignment="1">
      <alignment vertical="top"/>
    </xf>
    <xf numFmtId="0" fontId="0" fillId="0" borderId="2" xfId="0" applyBorder="1" applyAlignment="1">
      <alignment vertical="top"/>
    </xf>
    <xf numFmtId="0" fontId="0" fillId="0" borderId="8" xfId="0" applyBorder="1" applyAlignment="1">
      <alignment vertical="top"/>
    </xf>
    <xf numFmtId="167" fontId="0" fillId="0" borderId="49" xfId="1" applyNumberFormat="1" applyFont="1" applyBorder="1" applyAlignment="1">
      <alignment vertical="top"/>
    </xf>
    <xf numFmtId="167" fontId="0" fillId="0" borderId="2" xfId="1" applyNumberFormat="1" applyFont="1" applyBorder="1" applyAlignment="1">
      <alignment vertical="top"/>
    </xf>
    <xf numFmtId="0" fontId="0" fillId="0" borderId="50" xfId="0" applyBorder="1" applyAlignment="1">
      <alignment vertical="top"/>
    </xf>
    <xf numFmtId="0" fontId="0" fillId="0" borderId="51" xfId="0" applyBorder="1" applyAlignment="1">
      <alignment vertical="top"/>
    </xf>
    <xf numFmtId="0" fontId="0" fillId="0" borderId="52" xfId="0" applyBorder="1" applyAlignment="1">
      <alignment vertical="top"/>
    </xf>
    <xf numFmtId="167" fontId="0" fillId="0" borderId="36" xfId="1" applyNumberFormat="1" applyFont="1" applyFill="1" applyBorder="1" applyAlignment="1">
      <alignment vertical="top"/>
    </xf>
    <xf numFmtId="0" fontId="0" fillId="0" borderId="0" xfId="5" applyFont="1"/>
    <xf numFmtId="172" fontId="6" fillId="0" borderId="0" xfId="3" applyNumberFormat="1" applyFont="1" applyAlignment="1">
      <alignment horizontal="left" vertical="top" wrapText="1"/>
    </xf>
    <xf numFmtId="9" fontId="6" fillId="0" borderId="13" xfId="3" applyFont="1" applyFill="1" applyBorder="1" applyAlignment="1" applyProtection="1">
      <alignment horizontal="center" vertical="center"/>
      <protection locked="0"/>
    </xf>
    <xf numFmtId="9" fontId="6" fillId="0" borderId="14" xfId="3" applyFont="1" applyFill="1" applyBorder="1" applyAlignment="1" applyProtection="1">
      <alignment horizontal="center" vertical="center"/>
      <protection locked="0"/>
    </xf>
    <xf numFmtId="9" fontId="34" fillId="0" borderId="0" xfId="5" applyNumberFormat="1" applyFont="1"/>
    <xf numFmtId="0" fontId="74" fillId="2" borderId="4" xfId="0" applyFont="1" applyFill="1" applyBorder="1" applyAlignment="1">
      <alignment horizontal="center"/>
    </xf>
    <xf numFmtId="0" fontId="75" fillId="27" borderId="3" xfId="0" applyFont="1" applyFill="1" applyBorder="1" applyAlignment="1">
      <alignment horizontal="left"/>
    </xf>
    <xf numFmtId="3" fontId="26" fillId="0" borderId="3" xfId="0" applyNumberFormat="1" applyFont="1" applyBorder="1" applyAlignment="1">
      <alignment horizontal="center" vertical="center" wrapText="1"/>
    </xf>
    <xf numFmtId="0" fontId="26" fillId="0" borderId="3" xfId="14" applyFont="1" applyBorder="1" applyAlignment="1">
      <alignment horizontal="center" vertical="top" wrapText="1"/>
    </xf>
    <xf numFmtId="0" fontId="74" fillId="2" borderId="4" xfId="0" applyFont="1" applyFill="1" applyBorder="1"/>
    <xf numFmtId="167" fontId="75" fillId="27" borderId="3" xfId="1" applyNumberFormat="1" applyFont="1" applyFill="1" applyBorder="1" applyAlignment="1">
      <alignment horizontal="left"/>
    </xf>
    <xf numFmtId="0" fontId="70" fillId="0" borderId="0" xfId="0" applyFont="1" applyAlignment="1">
      <alignment horizontal="left"/>
    </xf>
    <xf numFmtId="9" fontId="6" fillId="0" borderId="14" xfId="3" applyFont="1" applyFill="1" applyBorder="1"/>
    <xf numFmtId="0" fontId="48" fillId="0" borderId="12" xfId="5" applyFont="1" applyBorder="1" applyAlignment="1" applyProtection="1">
      <alignment horizontal="left" vertical="top" wrapText="1"/>
      <protection locked="0"/>
    </xf>
    <xf numFmtId="167" fontId="35" fillId="0" borderId="0" xfId="0" applyNumberFormat="1" applyFont="1"/>
    <xf numFmtId="9" fontId="6" fillId="0" borderId="13" xfId="3" applyFont="1" applyBorder="1"/>
    <xf numFmtId="167" fontId="6" fillId="0" borderId="13" xfId="8" applyNumberFormat="1" applyFont="1" applyBorder="1" applyAlignment="1">
      <alignment horizontal="center" vertical="center"/>
    </xf>
    <xf numFmtId="167" fontId="6" fillId="0" borderId="0" xfId="5" applyNumberFormat="1" applyFont="1" applyAlignment="1">
      <alignment horizontal="left" vertical="top" wrapText="1"/>
    </xf>
    <xf numFmtId="9" fontId="6" fillId="0" borderId="13" xfId="3" applyFont="1" applyBorder="1" applyAlignment="1">
      <alignment horizontal="center"/>
    </xf>
    <xf numFmtId="167" fontId="19" fillId="0" borderId="13" xfId="1" applyNumberFormat="1" applyFont="1" applyFill="1" applyBorder="1" applyAlignment="1">
      <alignment horizontal="center"/>
    </xf>
    <xf numFmtId="167" fontId="19" fillId="0" borderId="14" xfId="1" applyNumberFormat="1" applyFont="1" applyFill="1" applyBorder="1" applyAlignment="1">
      <alignment horizontal="center"/>
    </xf>
    <xf numFmtId="0" fontId="1" fillId="0" borderId="0" xfId="5" applyFont="1" applyAlignment="1">
      <alignment horizontal="center"/>
    </xf>
    <xf numFmtId="0" fontId="19" fillId="0" borderId="0" xfId="5" applyFont="1" applyAlignment="1">
      <alignment horizontal="center"/>
    </xf>
    <xf numFmtId="9" fontId="6" fillId="0" borderId="14" xfId="3" applyFont="1" applyBorder="1" applyAlignment="1">
      <alignment horizontal="center"/>
    </xf>
    <xf numFmtId="167" fontId="23" fillId="0" borderId="9" xfId="5" applyNumberFormat="1" applyFont="1" applyBorder="1"/>
    <xf numFmtId="167" fontId="23" fillId="0" borderId="8" xfId="5" applyNumberFormat="1" applyFont="1" applyBorder="1"/>
    <xf numFmtId="9" fontId="75" fillId="27" borderId="3" xfId="3" applyFont="1" applyFill="1" applyBorder="1" applyAlignment="1">
      <alignment horizontal="right"/>
    </xf>
    <xf numFmtId="9" fontId="70" fillId="0" borderId="3" xfId="3" applyFont="1" applyFill="1" applyBorder="1" applyAlignment="1">
      <alignment horizontal="right"/>
    </xf>
    <xf numFmtId="0" fontId="0" fillId="0" borderId="31" xfId="1" applyNumberFormat="1" applyFont="1" applyFill="1" applyBorder="1" applyAlignment="1">
      <alignment horizontal="left" vertical="top" wrapText="1"/>
    </xf>
    <xf numFmtId="0" fontId="77" fillId="0" borderId="0" xfId="0" applyFont="1"/>
    <xf numFmtId="0" fontId="6" fillId="0" borderId="3" xfId="0" applyFont="1" applyBorder="1" applyAlignment="1">
      <alignment horizontal="left" vertical="center"/>
    </xf>
    <xf numFmtId="167" fontId="1" fillId="17" borderId="1" xfId="1" applyNumberFormat="1" applyFont="1" applyFill="1" applyBorder="1" applyAlignment="1">
      <alignment horizontal="right"/>
    </xf>
    <xf numFmtId="167" fontId="1" fillId="3" borderId="1" xfId="1" applyNumberFormat="1" applyFont="1" applyFill="1" applyBorder="1" applyAlignment="1">
      <alignment horizontal="right"/>
    </xf>
    <xf numFmtId="167" fontId="6" fillId="0" borderId="3" xfId="1" applyNumberFormat="1" applyFont="1" applyFill="1" applyBorder="1" applyAlignment="1">
      <alignment horizontal="left" vertical="center" wrapText="1"/>
    </xf>
    <xf numFmtId="1" fontId="0" fillId="3" borderId="1" xfId="0" applyNumberFormat="1" applyFill="1" applyBorder="1" applyAlignment="1">
      <alignment horizontal="right"/>
    </xf>
    <xf numFmtId="165" fontId="0" fillId="3" borderId="1" xfId="0" applyNumberFormat="1" applyFill="1" applyBorder="1" applyAlignment="1">
      <alignment horizontal="right"/>
    </xf>
    <xf numFmtId="0" fontId="0" fillId="6" borderId="0" xfId="1" applyNumberFormat="1" applyFont="1" applyFill="1" applyAlignment="1">
      <alignment horizontal="left"/>
    </xf>
    <xf numFmtId="167" fontId="6" fillId="0" borderId="0" xfId="1" applyNumberFormat="1" applyFont="1" applyBorder="1" applyAlignment="1">
      <alignment horizontal="left" vertical="center" wrapText="1"/>
    </xf>
    <xf numFmtId="166" fontId="6" fillId="0" borderId="0" xfId="1" applyNumberFormat="1" applyFont="1" applyBorder="1" applyAlignment="1">
      <alignment horizontal="left" vertical="center" wrapText="1"/>
    </xf>
    <xf numFmtId="43" fontId="29" fillId="0" borderId="0" xfId="0" applyNumberFormat="1" applyFont="1"/>
    <xf numFmtId="0" fontId="73" fillId="0" borderId="0" xfId="0" applyFont="1" applyAlignment="1">
      <alignment vertical="top"/>
    </xf>
    <xf numFmtId="0" fontId="26" fillId="21" borderId="3" xfId="0" applyFont="1" applyFill="1" applyBorder="1" applyAlignment="1">
      <alignment horizontal="left"/>
    </xf>
    <xf numFmtId="167" fontId="26" fillId="21" borderId="3" xfId="1" applyNumberFormat="1" applyFont="1" applyFill="1" applyBorder="1" applyAlignment="1">
      <alignment horizontal="left"/>
    </xf>
    <xf numFmtId="0" fontId="26" fillId="21" borderId="4" xfId="5" applyFont="1" applyFill="1" applyBorder="1" applyAlignment="1" applyProtection="1">
      <alignment horizontal="left" vertical="center" wrapText="1"/>
      <protection locked="0"/>
    </xf>
    <xf numFmtId="0" fontId="26" fillId="21" borderId="17" xfId="5" applyFont="1" applyFill="1" applyBorder="1" applyAlignment="1" applyProtection="1">
      <alignment horizontal="left" vertical="top" wrapText="1"/>
      <protection locked="0"/>
    </xf>
    <xf numFmtId="0" fontId="26" fillId="21" borderId="17" xfId="5" applyFont="1" applyFill="1" applyBorder="1" applyAlignment="1" applyProtection="1">
      <alignment horizontal="center" vertical="top" wrapText="1"/>
      <protection locked="0"/>
    </xf>
    <xf numFmtId="0" fontId="6" fillId="21" borderId="17" xfId="5" applyFont="1" applyFill="1" applyBorder="1" applyAlignment="1" applyProtection="1">
      <alignment horizontal="center" vertical="top" wrapText="1"/>
      <protection locked="0"/>
    </xf>
    <xf numFmtId="167" fontId="26" fillId="21" borderId="17" xfId="8" applyNumberFormat="1" applyFont="1" applyFill="1" applyBorder="1" applyAlignment="1" applyProtection="1">
      <alignment horizontal="left" vertical="top" wrapText="1"/>
      <protection locked="0"/>
    </xf>
    <xf numFmtId="0" fontId="6" fillId="21" borderId="17" xfId="5" applyFont="1" applyFill="1" applyBorder="1" applyAlignment="1" applyProtection="1">
      <alignment vertical="top" wrapText="1"/>
      <protection locked="0"/>
    </xf>
    <xf numFmtId="167" fontId="6" fillId="21" borderId="17" xfId="8" applyNumberFormat="1" applyFont="1" applyFill="1" applyBorder="1" applyAlignment="1" applyProtection="1">
      <alignment horizontal="left" vertical="top" wrapText="1"/>
      <protection locked="0"/>
    </xf>
    <xf numFmtId="167" fontId="6" fillId="21" borderId="5" xfId="5" applyNumberFormat="1" applyFont="1" applyFill="1" applyBorder="1" applyAlignment="1" applyProtection="1">
      <alignment horizontal="left" vertical="top" wrapText="1"/>
      <protection locked="0"/>
    </xf>
    <xf numFmtId="0" fontId="26" fillId="13" borderId="4" xfId="5" applyFont="1" applyFill="1" applyBorder="1" applyAlignment="1" applyProtection="1">
      <alignment horizontal="left" vertical="center" wrapText="1"/>
      <protection locked="0"/>
    </xf>
    <xf numFmtId="0" fontId="26" fillId="13" borderId="17" xfId="5" applyFont="1" applyFill="1" applyBorder="1" applyAlignment="1" applyProtection="1">
      <alignment horizontal="left" vertical="top" wrapText="1"/>
      <protection locked="0"/>
    </xf>
    <xf numFmtId="0" fontId="26" fillId="13" borderId="17" xfId="5" applyFont="1" applyFill="1" applyBorder="1" applyAlignment="1" applyProtection="1">
      <alignment horizontal="center" vertical="top" wrapText="1"/>
      <protection locked="0"/>
    </xf>
    <xf numFmtId="0" fontId="6" fillId="13" borderId="17" xfId="5" applyFont="1" applyFill="1" applyBorder="1" applyAlignment="1" applyProtection="1">
      <alignment horizontal="center" vertical="top" wrapText="1"/>
      <protection locked="0"/>
    </xf>
    <xf numFmtId="0" fontId="6" fillId="13" borderId="17" xfId="5" applyFont="1" applyFill="1" applyBorder="1" applyAlignment="1" applyProtection="1">
      <alignment vertical="top" wrapText="1"/>
      <protection locked="0"/>
    </xf>
    <xf numFmtId="167" fontId="6" fillId="13" borderId="5" xfId="5" applyNumberFormat="1" applyFont="1" applyFill="1" applyBorder="1" applyAlignment="1" applyProtection="1">
      <alignment horizontal="left" vertical="top" wrapText="1"/>
      <protection locked="0"/>
    </xf>
    <xf numFmtId="166" fontId="6" fillId="0" borderId="0" xfId="8" applyNumberFormat="1" applyFont="1" applyFill="1" applyBorder="1" applyAlignment="1">
      <alignment horizontal="right" vertical="center"/>
    </xf>
    <xf numFmtId="167" fontId="6" fillId="0" borderId="0" xfId="8" applyNumberFormat="1" applyFont="1" applyFill="1" applyBorder="1" applyAlignment="1">
      <alignment horizontal="right" vertical="center"/>
    </xf>
    <xf numFmtId="167" fontId="6" fillId="0" borderId="9" xfId="8" applyNumberFormat="1" applyFont="1" applyFill="1" applyBorder="1" applyAlignment="1">
      <alignment horizontal="right" vertical="center"/>
    </xf>
    <xf numFmtId="167" fontId="6" fillId="0" borderId="8" xfId="8" applyNumberFormat="1" applyFont="1" applyFill="1" applyBorder="1" applyAlignment="1">
      <alignment horizontal="right" vertical="center"/>
    </xf>
    <xf numFmtId="0" fontId="0" fillId="0" borderId="53" xfId="0" applyBorder="1" applyAlignment="1">
      <alignment horizontal="left" vertical="top" wrapText="1"/>
    </xf>
    <xf numFmtId="9" fontId="0" fillId="0" borderId="54" xfId="0" applyNumberFormat="1" applyBorder="1" applyAlignment="1">
      <alignment horizontal="left" vertical="top"/>
    </xf>
    <xf numFmtId="0" fontId="9" fillId="12" borderId="7" xfId="5" applyFont="1" applyFill="1" applyBorder="1" applyAlignment="1" applyProtection="1">
      <alignment vertical="top" wrapText="1"/>
      <protection locked="0"/>
    </xf>
    <xf numFmtId="167" fontId="6" fillId="9" borderId="0" xfId="8" applyNumberFormat="1" applyFont="1" applyFill="1" applyBorder="1" applyAlignment="1" applyProtection="1">
      <alignment horizontal="center" vertical="center"/>
      <protection locked="0"/>
    </xf>
    <xf numFmtId="166" fontId="6" fillId="9" borderId="0" xfId="8" applyNumberFormat="1" applyFont="1" applyFill="1" applyBorder="1" applyAlignment="1" applyProtection="1">
      <alignment horizontal="center" vertical="center"/>
      <protection locked="0"/>
    </xf>
    <xf numFmtId="167" fontId="6" fillId="0" borderId="12" xfId="8" applyNumberFormat="1" applyFont="1" applyFill="1" applyBorder="1" applyAlignment="1" applyProtection="1">
      <alignment horizontal="center" vertical="center"/>
      <protection locked="0"/>
    </xf>
    <xf numFmtId="167" fontId="6" fillId="0" borderId="13" xfId="8" applyNumberFormat="1" applyFont="1" applyFill="1" applyBorder="1" applyAlignment="1" applyProtection="1">
      <alignment horizontal="center" vertical="center"/>
      <protection locked="0"/>
    </xf>
    <xf numFmtId="167" fontId="6" fillId="0" borderId="14" xfId="8" applyNumberFormat="1" applyFont="1" applyFill="1" applyBorder="1" applyAlignment="1" applyProtection="1">
      <alignment horizontal="center" vertical="center"/>
      <protection locked="0"/>
    </xf>
    <xf numFmtId="167" fontId="6" fillId="0" borderId="9" xfId="8" applyNumberFormat="1" applyFont="1" applyFill="1" applyBorder="1" applyAlignment="1" applyProtection="1">
      <alignment horizontal="center" vertical="center"/>
      <protection locked="0"/>
    </xf>
    <xf numFmtId="167" fontId="6" fillId="0" borderId="8" xfId="8" applyNumberFormat="1" applyFont="1" applyFill="1" applyBorder="1" applyAlignment="1" applyProtection="1">
      <alignment horizontal="center" vertical="center"/>
      <protection locked="0"/>
    </xf>
    <xf numFmtId="167" fontId="6" fillId="11" borderId="0" xfId="8" applyNumberFormat="1" applyFont="1" applyFill="1" applyBorder="1" applyAlignment="1" applyProtection="1">
      <alignment horizontal="center" vertical="center"/>
      <protection locked="0"/>
    </xf>
    <xf numFmtId="9" fontId="6" fillId="0" borderId="13" xfId="3" applyFont="1" applyFill="1" applyBorder="1" applyAlignment="1">
      <alignment horizontal="center"/>
    </xf>
    <xf numFmtId="167" fontId="6" fillId="9" borderId="9" xfId="8" applyNumberFormat="1" applyFont="1" applyFill="1" applyBorder="1" applyAlignment="1" applyProtection="1">
      <alignment horizontal="center" vertical="center"/>
      <protection locked="0"/>
    </xf>
    <xf numFmtId="167" fontId="6" fillId="21" borderId="17" xfId="5" applyNumberFormat="1" applyFont="1" applyFill="1" applyBorder="1" applyAlignment="1" applyProtection="1">
      <alignment horizontal="left" vertical="top" wrapText="1"/>
      <protection locked="0"/>
    </xf>
    <xf numFmtId="167" fontId="26" fillId="13" borderId="17" xfId="8" applyNumberFormat="1" applyFont="1" applyFill="1" applyBorder="1" applyAlignment="1" applyProtection="1">
      <alignment horizontal="left" vertical="top" wrapText="1"/>
      <protection locked="0"/>
    </xf>
    <xf numFmtId="167" fontId="6" fillId="13" borderId="17" xfId="5" applyNumberFormat="1" applyFont="1" applyFill="1" applyBorder="1" applyAlignment="1" applyProtection="1">
      <alignment horizontal="right" vertical="top" wrapText="1"/>
      <protection locked="0"/>
    </xf>
    <xf numFmtId="167" fontId="6" fillId="13" borderId="5" xfId="5" applyNumberFormat="1" applyFont="1" applyFill="1" applyBorder="1" applyAlignment="1" applyProtection="1">
      <alignment horizontal="right" vertical="top" wrapText="1"/>
      <protection locked="0"/>
    </xf>
    <xf numFmtId="167" fontId="6" fillId="13" borderId="17" xfId="5" applyNumberFormat="1" applyFont="1" applyFill="1" applyBorder="1" applyAlignment="1" applyProtection="1">
      <alignment horizontal="left" vertical="top" wrapText="1"/>
      <protection locked="0"/>
    </xf>
    <xf numFmtId="167" fontId="6" fillId="0" borderId="9" xfId="8" applyNumberFormat="1" applyFont="1" applyBorder="1" applyAlignment="1">
      <alignment horizontal="right" vertical="center"/>
    </xf>
    <xf numFmtId="166" fontId="6" fillId="9" borderId="9" xfId="8" applyNumberFormat="1" applyFont="1" applyFill="1" applyBorder="1" applyAlignment="1" applyProtection="1">
      <alignment horizontal="center" vertical="center"/>
      <protection locked="0"/>
    </xf>
    <xf numFmtId="166" fontId="6" fillId="0" borderId="2" xfId="8" applyNumberFormat="1" applyFont="1" applyFill="1" applyBorder="1" applyAlignment="1">
      <alignment horizontal="right" vertical="center"/>
    </xf>
    <xf numFmtId="166" fontId="6" fillId="13" borderId="17" xfId="8" applyNumberFormat="1" applyFont="1" applyFill="1" applyBorder="1" applyAlignment="1" applyProtection="1">
      <alignment horizontal="right" vertical="top" wrapText="1"/>
      <protection locked="0"/>
    </xf>
    <xf numFmtId="166" fontId="6" fillId="13" borderId="17" xfId="8" applyNumberFormat="1" applyFont="1" applyFill="1" applyBorder="1" applyAlignment="1" applyProtection="1">
      <alignment horizontal="left" vertical="top" wrapText="1"/>
      <protection locked="0"/>
    </xf>
    <xf numFmtId="166" fontId="6" fillId="13" borderId="17" xfId="5" applyNumberFormat="1" applyFont="1" applyFill="1" applyBorder="1" applyAlignment="1" applyProtection="1">
      <alignment horizontal="right" vertical="top" wrapText="1"/>
      <protection locked="0"/>
    </xf>
    <xf numFmtId="166" fontId="6" fillId="13" borderId="17" xfId="5" applyNumberFormat="1" applyFont="1" applyFill="1" applyBorder="1" applyAlignment="1" applyProtection="1">
      <alignment horizontal="left" vertical="top" wrapText="1"/>
      <protection locked="0"/>
    </xf>
    <xf numFmtId="0" fontId="30" fillId="12" borderId="14" xfId="5" applyFont="1" applyFill="1" applyBorder="1" applyAlignment="1">
      <alignment horizontal="center" vertical="top"/>
    </xf>
    <xf numFmtId="0" fontId="6" fillId="11" borderId="7" xfId="5" applyFont="1" applyFill="1" applyBorder="1" applyProtection="1">
      <protection locked="0"/>
    </xf>
    <xf numFmtId="0" fontId="6" fillId="9" borderId="7" xfId="5" applyFont="1" applyFill="1" applyBorder="1" applyProtection="1">
      <protection locked="0"/>
    </xf>
    <xf numFmtId="167" fontId="20" fillId="9" borderId="7" xfId="1" applyNumberFormat="1" applyFont="1" applyFill="1" applyBorder="1"/>
    <xf numFmtId="167" fontId="20" fillId="9" borderId="6" xfId="1" applyNumberFormat="1" applyFont="1" applyFill="1" applyBorder="1"/>
    <xf numFmtId="167" fontId="20" fillId="9" borderId="1" xfId="1" applyNumberFormat="1" applyFont="1" applyFill="1" applyBorder="1"/>
    <xf numFmtId="167" fontId="6" fillId="0" borderId="12" xfId="8" applyNumberFormat="1" applyFont="1" applyBorder="1" applyAlignment="1">
      <alignment horizontal="center" vertical="center"/>
    </xf>
    <xf numFmtId="167" fontId="6" fillId="0" borderId="9" xfId="8" applyNumberFormat="1" applyFont="1" applyBorder="1" applyAlignment="1">
      <alignment horizontal="center" vertical="center"/>
    </xf>
    <xf numFmtId="167" fontId="6" fillId="0" borderId="8" xfId="8" applyNumberFormat="1" applyFont="1" applyBorder="1" applyAlignment="1">
      <alignment horizontal="center" vertical="center"/>
    </xf>
    <xf numFmtId="0" fontId="9" fillId="12" borderId="12" xfId="5" applyFont="1" applyFill="1" applyBorder="1" applyAlignment="1" applyProtection="1">
      <alignment vertical="top" wrapText="1"/>
      <protection locked="0"/>
    </xf>
    <xf numFmtId="0" fontId="9" fillId="12" borderId="10" xfId="5" applyFont="1" applyFill="1" applyBorder="1" applyAlignment="1" applyProtection="1">
      <alignment vertical="top" wrapText="1"/>
      <protection locked="0"/>
    </xf>
    <xf numFmtId="0" fontId="70" fillId="0" borderId="3" xfId="0" applyFont="1" applyBorder="1" applyAlignment="1">
      <alignment horizontal="left" indent="1"/>
    </xf>
    <xf numFmtId="167" fontId="70" fillId="0" borderId="3" xfId="1" applyNumberFormat="1" applyFont="1" applyFill="1" applyBorder="1" applyAlignment="1">
      <alignment horizontal="left" indent="1"/>
    </xf>
    <xf numFmtId="0" fontId="6" fillId="0" borderId="3" xfId="0" applyFont="1" applyBorder="1" applyAlignment="1">
      <alignment horizontal="left" indent="2"/>
    </xf>
    <xf numFmtId="0" fontId="6" fillId="0" borderId="6" xfId="0" applyFont="1" applyBorder="1" applyAlignment="1">
      <alignment horizontal="left" indent="2"/>
    </xf>
    <xf numFmtId="0" fontId="17" fillId="21" borderId="6" xfId="0" applyFont="1" applyFill="1" applyBorder="1" applyAlignment="1">
      <alignment horizontal="left"/>
    </xf>
    <xf numFmtId="167" fontId="17" fillId="21" borderId="3" xfId="0" applyNumberFormat="1" applyFont="1" applyFill="1" applyBorder="1"/>
    <xf numFmtId="0" fontId="78" fillId="0" borderId="0" xfId="0" applyFont="1" applyAlignment="1">
      <alignment horizontal="left" vertical="center"/>
    </xf>
    <xf numFmtId="167" fontId="6" fillId="0" borderId="3" xfId="1" applyNumberFormat="1" applyFont="1" applyBorder="1" applyAlignment="1">
      <alignment horizontal="right" vertical="center" wrapText="1"/>
    </xf>
    <xf numFmtId="166" fontId="6" fillId="0" borderId="3" xfId="1" applyNumberFormat="1" applyFont="1" applyBorder="1" applyAlignment="1">
      <alignment horizontal="right" vertical="center" wrapText="1"/>
    </xf>
    <xf numFmtId="0" fontId="26" fillId="0" borderId="3" xfId="0" applyFont="1" applyBorder="1" applyAlignment="1">
      <alignment horizontal="left" vertical="center"/>
    </xf>
    <xf numFmtId="167" fontId="26" fillId="0" borderId="3" xfId="1" applyNumberFormat="1" applyFont="1" applyBorder="1" applyAlignment="1">
      <alignment horizontal="left" vertical="center" wrapText="1"/>
    </xf>
    <xf numFmtId="166" fontId="26" fillId="0" borderId="3" xfId="1" applyNumberFormat="1" applyFont="1" applyBorder="1" applyAlignment="1">
      <alignment horizontal="right" vertical="center" wrapText="1"/>
    </xf>
    <xf numFmtId="9" fontId="6" fillId="0" borderId="3" xfId="3" applyFont="1" applyBorder="1" applyAlignment="1">
      <alignment horizontal="left" vertical="center"/>
    </xf>
    <xf numFmtId="167" fontId="6" fillId="0" borderId="3" xfId="1" applyNumberFormat="1" applyFont="1" applyFill="1" applyBorder="1" applyAlignment="1">
      <alignment horizontal="right" vertical="center" wrapText="1"/>
    </xf>
    <xf numFmtId="167" fontId="26" fillId="0" borderId="3" xfId="1" applyNumberFormat="1" applyFont="1" applyBorder="1" applyAlignment="1">
      <alignment horizontal="right" vertical="center" wrapText="1"/>
    </xf>
    <xf numFmtId="167" fontId="73" fillId="0" borderId="0" xfId="1" applyNumberFormat="1" applyFont="1" applyBorder="1" applyAlignment="1">
      <alignment horizontal="left" vertical="center"/>
    </xf>
    <xf numFmtId="9" fontId="0" fillId="0" borderId="27" xfId="0" applyNumberFormat="1" applyBorder="1" applyAlignment="1">
      <alignment horizontal="left" vertical="top"/>
    </xf>
    <xf numFmtId="168" fontId="0" fillId="0" borderId="25" xfId="1" applyNumberFormat="1" applyFont="1" applyBorder="1" applyAlignment="1">
      <alignment horizontal="left" vertical="top"/>
    </xf>
    <xf numFmtId="168" fontId="0" fillId="0" borderId="48" xfId="1" applyNumberFormat="1" applyFont="1" applyBorder="1" applyAlignment="1">
      <alignment horizontal="left" vertical="top"/>
    </xf>
    <xf numFmtId="164" fontId="6" fillId="3" borderId="7" xfId="0" applyNumberFormat="1" applyFont="1" applyFill="1" applyBorder="1" applyAlignment="1">
      <alignment horizontal="right"/>
    </xf>
    <xf numFmtId="164" fontId="6" fillId="3" borderId="6" xfId="0" applyNumberFormat="1" applyFont="1" applyFill="1" applyBorder="1" applyAlignment="1">
      <alignment horizontal="right"/>
    </xf>
    <xf numFmtId="10" fontId="6" fillId="3" borderId="7" xfId="3" applyNumberFormat="1" applyFont="1" applyFill="1" applyBorder="1" applyAlignment="1">
      <alignment horizontal="right" vertical="center"/>
    </xf>
    <xf numFmtId="0" fontId="6" fillId="0" borderId="6" xfId="0" applyFont="1" applyBorder="1" applyAlignment="1">
      <alignment horizontal="left"/>
    </xf>
    <xf numFmtId="9" fontId="0" fillId="3" borderId="7" xfId="3" applyFont="1" applyFill="1" applyBorder="1" applyAlignment="1">
      <alignment horizontal="right"/>
    </xf>
    <xf numFmtId="9" fontId="0" fillId="3" borderId="6" xfId="3" applyFont="1" applyFill="1" applyBorder="1" applyAlignment="1">
      <alignment horizontal="right"/>
    </xf>
    <xf numFmtId="0" fontId="7" fillId="0" borderId="0" xfId="4"/>
    <xf numFmtId="0" fontId="9" fillId="12" borderId="7" xfId="5" applyFont="1" applyFill="1" applyBorder="1" applyAlignment="1" applyProtection="1">
      <alignment horizontal="left" vertical="top" wrapText="1"/>
      <protection locked="0"/>
    </xf>
    <xf numFmtId="167" fontId="6" fillId="3" borderId="14" xfId="1" applyNumberFormat="1" applyFont="1" applyFill="1" applyBorder="1" applyAlignment="1">
      <alignment horizontal="center"/>
    </xf>
    <xf numFmtId="0" fontId="19" fillId="0" borderId="8" xfId="5" applyFont="1" applyBorder="1" applyAlignment="1">
      <alignment horizontal="left" vertical="center"/>
    </xf>
    <xf numFmtId="167" fontId="6" fillId="3" borderId="6" xfId="1" applyNumberFormat="1" applyFont="1" applyFill="1" applyBorder="1" applyAlignment="1">
      <alignment horizontal="center"/>
    </xf>
    <xf numFmtId="173" fontId="0" fillId="0" borderId="11" xfId="0" applyNumberFormat="1" applyBorder="1"/>
    <xf numFmtId="166" fontId="6" fillId="0" borderId="0" xfId="8" applyNumberFormat="1" applyFont="1" applyBorder="1" applyAlignment="1">
      <alignment horizontal="right" vertical="center"/>
    </xf>
    <xf numFmtId="0" fontId="0" fillId="0" borderId="8" xfId="0" applyBorder="1" applyAlignment="1">
      <alignment horizontal="left"/>
    </xf>
    <xf numFmtId="9" fontId="0" fillId="0" borderId="13" xfId="3" applyFont="1" applyFill="1" applyBorder="1"/>
    <xf numFmtId="9" fontId="0" fillId="0" borderId="14" xfId="3" applyFont="1" applyFill="1" applyBorder="1"/>
    <xf numFmtId="0" fontId="40" fillId="12" borderId="8" xfId="0" applyFont="1" applyFill="1" applyBorder="1" applyAlignment="1">
      <alignment horizontal="left"/>
    </xf>
    <xf numFmtId="1" fontId="0" fillId="0" borderId="9" xfId="0" applyNumberFormat="1" applyBorder="1"/>
    <xf numFmtId="1" fontId="0" fillId="0" borderId="8" xfId="0" applyNumberFormat="1" applyBorder="1"/>
    <xf numFmtId="0" fontId="59" fillId="12" borderId="4" xfId="0" applyFont="1" applyFill="1" applyBorder="1"/>
    <xf numFmtId="0" fontId="59" fillId="12" borderId="17" xfId="0" applyFont="1" applyFill="1" applyBorder="1"/>
    <xf numFmtId="0" fontId="59" fillId="12" borderId="5" xfId="0" applyFont="1" applyFill="1" applyBorder="1"/>
    <xf numFmtId="49" fontId="8" fillId="0" borderId="0" xfId="0" applyNumberFormat="1" applyFont="1"/>
    <xf numFmtId="0" fontId="8" fillId="0" borderId="13" xfId="0" applyFont="1" applyBorder="1"/>
    <xf numFmtId="0" fontId="6" fillId="0" borderId="0" xfId="0" applyFont="1" applyAlignment="1">
      <alignment wrapText="1"/>
    </xf>
    <xf numFmtId="9" fontId="26" fillId="0" borderId="0" xfId="3" applyFont="1" applyBorder="1"/>
    <xf numFmtId="9" fontId="26" fillId="0" borderId="2" xfId="3" applyFont="1" applyBorder="1"/>
    <xf numFmtId="0" fontId="9" fillId="12" borderId="1" xfId="5" applyFont="1" applyFill="1" applyBorder="1" applyAlignment="1" applyProtection="1">
      <alignment horizontal="left" vertical="top"/>
      <protection locked="0"/>
    </xf>
    <xf numFmtId="0" fontId="9" fillId="12" borderId="14" xfId="5" applyFont="1" applyFill="1" applyBorder="1" applyAlignment="1" applyProtection="1">
      <alignment horizontal="left" vertical="top"/>
      <protection locked="0"/>
    </xf>
    <xf numFmtId="0" fontId="9" fillId="12" borderId="9" xfId="5" applyFont="1" applyFill="1" applyBorder="1" applyAlignment="1" applyProtection="1">
      <alignment horizontal="left" vertical="top"/>
      <protection locked="0"/>
    </xf>
    <xf numFmtId="0" fontId="9" fillId="12" borderId="11" xfId="5" applyFont="1" applyFill="1" applyBorder="1" applyAlignment="1" applyProtection="1">
      <alignment horizontal="left" vertical="top"/>
      <protection locked="0"/>
    </xf>
    <xf numFmtId="0" fontId="9" fillId="12" borderId="4" xfId="5" applyFont="1" applyFill="1" applyBorder="1" applyAlignment="1" applyProtection="1">
      <alignment horizontal="left" vertical="top"/>
      <protection locked="0"/>
    </xf>
    <xf numFmtId="0" fontId="9" fillId="12" borderId="12" xfId="5" applyFont="1" applyFill="1" applyBorder="1" applyAlignment="1" applyProtection="1">
      <alignment horizontal="left" vertical="top"/>
      <protection locked="0"/>
    </xf>
    <xf numFmtId="0" fontId="9" fillId="12" borderId="4" xfId="8" applyNumberFormat="1" applyFont="1" applyFill="1" applyBorder="1" applyAlignment="1" applyProtection="1">
      <alignment horizontal="left" vertical="top"/>
      <protection locked="0"/>
    </xf>
    <xf numFmtId="0" fontId="9" fillId="12" borderId="12" xfId="8" applyNumberFormat="1" applyFont="1" applyFill="1" applyBorder="1" applyAlignment="1" applyProtection="1">
      <alignment horizontal="left" vertical="top"/>
      <protection locked="0"/>
    </xf>
    <xf numFmtId="167" fontId="6" fillId="0" borderId="0" xfId="1" applyNumberFormat="1" applyFont="1" applyFill="1" applyBorder="1"/>
    <xf numFmtId="167" fontId="6" fillId="0" borderId="9" xfId="1" applyNumberFormat="1" applyFont="1" applyFill="1" applyBorder="1"/>
    <xf numFmtId="165" fontId="2" fillId="0" borderId="0" xfId="0" applyNumberFormat="1" applyFont="1"/>
    <xf numFmtId="0" fontId="12" fillId="12" borderId="13" xfId="0" applyFont="1" applyFill="1" applyBorder="1" applyAlignment="1">
      <alignment horizontal="left" vertical="center"/>
    </xf>
    <xf numFmtId="0" fontId="12" fillId="12" borderId="9" xfId="0" applyFont="1" applyFill="1" applyBorder="1" applyAlignment="1">
      <alignment horizontal="left" vertical="center"/>
    </xf>
    <xf numFmtId="1" fontId="73" fillId="0" borderId="0" xfId="0" applyNumberFormat="1" applyFont="1"/>
    <xf numFmtId="0" fontId="19" fillId="0" borderId="3" xfId="0" applyFont="1" applyBorder="1" applyAlignment="1">
      <alignment horizontal="left" indent="2"/>
    </xf>
    <xf numFmtId="167" fontId="0" fillId="0" borderId="3" xfId="0" applyNumberFormat="1" applyBorder="1"/>
    <xf numFmtId="167" fontId="26" fillId="0" borderId="3" xfId="1" applyNumberFormat="1" applyFont="1" applyFill="1" applyBorder="1" applyAlignment="1">
      <alignment horizontal="right" vertical="center" wrapText="1"/>
    </xf>
    <xf numFmtId="167" fontId="0" fillId="9" borderId="11" xfId="1" applyNumberFormat="1" applyFont="1" applyFill="1" applyBorder="1"/>
    <xf numFmtId="0" fontId="6" fillId="0" borderId="0" xfId="0" quotePrefix="1" applyFont="1"/>
    <xf numFmtId="0" fontId="80" fillId="0" borderId="0" xfId="16" applyFont="1" applyAlignment="1">
      <alignment horizontal="center"/>
    </xf>
    <xf numFmtId="0" fontId="80" fillId="0" borderId="0" xfId="16" applyFont="1" applyAlignment="1">
      <alignment horizontal="center" wrapText="1"/>
    </xf>
    <xf numFmtId="0" fontId="81" fillId="0" borderId="0" xfId="16" applyFont="1" applyAlignment="1">
      <alignment horizontal="center"/>
    </xf>
    <xf numFmtId="0" fontId="24" fillId="0" borderId="0" xfId="16"/>
    <xf numFmtId="178" fontId="24" fillId="0" borderId="0" xfId="6" applyNumberFormat="1" applyFont="1" applyFill="1"/>
    <xf numFmtId="178" fontId="82" fillId="0" borderId="0" xfId="6" applyNumberFormat="1" applyFont="1" applyFill="1"/>
    <xf numFmtId="3" fontId="83" fillId="0" borderId="0" xfId="16" applyNumberFormat="1" applyFont="1"/>
    <xf numFmtId="179" fontId="24" fillId="0" borderId="0" xfId="6" applyNumberFormat="1" applyFont="1" applyFill="1"/>
    <xf numFmtId="180" fontId="24" fillId="0" borderId="0" xfId="17" applyNumberFormat="1" applyFont="1" applyFill="1"/>
    <xf numFmtId="10" fontId="84" fillId="0" borderId="0" xfId="16" applyNumberFormat="1" applyFont="1"/>
    <xf numFmtId="178" fontId="84" fillId="0" borderId="0" xfId="16" applyNumberFormat="1" applyFont="1"/>
    <xf numFmtId="0" fontId="84" fillId="0" borderId="0" xfId="16" applyFont="1"/>
    <xf numFmtId="179" fontId="24" fillId="0" borderId="0" xfId="2" applyNumberFormat="1" applyFont="1" applyFill="1"/>
    <xf numFmtId="0" fontId="24" fillId="0" borderId="0" xfId="10" applyFont="1"/>
    <xf numFmtId="0" fontId="84" fillId="0" borderId="0" xfId="10" applyFont="1"/>
    <xf numFmtId="0" fontId="24" fillId="0" borderId="2" xfId="10" applyFont="1" applyBorder="1"/>
    <xf numFmtId="0" fontId="85" fillId="0" borderId="0" xfId="10" applyFont="1"/>
    <xf numFmtId="16" fontId="79" fillId="0" borderId="0" xfId="10" applyNumberFormat="1" applyFont="1" applyAlignment="1">
      <alignment horizontal="center"/>
    </xf>
    <xf numFmtId="0" fontId="24" fillId="0" borderId="10" xfId="10" applyFont="1" applyBorder="1"/>
    <xf numFmtId="0" fontId="24" fillId="0" borderId="9" xfId="10" applyFont="1" applyBorder="1"/>
    <xf numFmtId="0" fontId="24" fillId="0" borderId="0" xfId="10" applyFont="1" applyAlignment="1">
      <alignment horizontal="center"/>
    </xf>
    <xf numFmtId="0" fontId="24" fillId="0" borderId="12" xfId="10" applyFont="1" applyBorder="1"/>
    <xf numFmtId="0" fontId="24" fillId="0" borderId="13" xfId="10" applyFont="1" applyBorder="1"/>
    <xf numFmtId="0" fontId="24" fillId="0" borderId="14" xfId="10" applyFont="1" applyBorder="1" applyAlignment="1">
      <alignment horizontal="center"/>
    </xf>
    <xf numFmtId="0" fontId="24" fillId="0" borderId="2" xfId="10" applyFont="1" applyBorder="1" applyAlignment="1">
      <alignment horizontal="center"/>
    </xf>
    <xf numFmtId="0" fontId="24" fillId="0" borderId="8" xfId="10" applyFont="1" applyBorder="1" applyAlignment="1">
      <alignment horizontal="center"/>
    </xf>
    <xf numFmtId="0" fontId="24" fillId="0" borderId="11" xfId="10" applyFont="1" applyBorder="1"/>
    <xf numFmtId="167" fontId="24" fillId="0" borderId="0" xfId="1" applyNumberFormat="1" applyFont="1" applyBorder="1"/>
    <xf numFmtId="167" fontId="24" fillId="0" borderId="9" xfId="1" applyNumberFormat="1" applyFont="1" applyBorder="1"/>
    <xf numFmtId="44" fontId="24" fillId="0" borderId="13" xfId="2" applyFont="1" applyBorder="1"/>
    <xf numFmtId="10" fontId="24" fillId="0" borderId="9" xfId="10" applyNumberFormat="1" applyFont="1" applyBorder="1"/>
    <xf numFmtId="172" fontId="24" fillId="0" borderId="0" xfId="10" applyNumberFormat="1" applyFont="1"/>
    <xf numFmtId="167" fontId="24" fillId="0" borderId="0" xfId="1" applyNumberFormat="1" applyFont="1" applyFill="1" applyBorder="1"/>
    <xf numFmtId="167" fontId="24" fillId="0" borderId="9" xfId="1" applyNumberFormat="1" applyFont="1" applyFill="1" applyBorder="1"/>
    <xf numFmtId="10" fontId="24" fillId="0" borderId="0" xfId="3" applyNumberFormat="1" applyFont="1"/>
    <xf numFmtId="10" fontId="24" fillId="0" borderId="9" xfId="3" applyNumberFormat="1" applyFont="1" applyBorder="1"/>
    <xf numFmtId="0" fontId="24" fillId="0" borderId="0" xfId="1" applyNumberFormat="1" applyFont="1" applyFill="1" applyBorder="1"/>
    <xf numFmtId="0" fontId="24" fillId="0" borderId="0" xfId="1" applyNumberFormat="1" applyFont="1" applyFill="1" applyBorder="1" applyAlignment="1">
      <alignment horizontal="right"/>
    </xf>
    <xf numFmtId="167" fontId="24" fillId="0" borderId="0" xfId="1" applyNumberFormat="1" applyFont="1" applyFill="1" applyBorder="1" applyAlignment="1">
      <alignment horizontal="right"/>
    </xf>
    <xf numFmtId="0" fontId="24" fillId="0" borderId="14" xfId="10" applyFont="1" applyBorder="1"/>
    <xf numFmtId="0" fontId="24" fillId="0" borderId="2" xfId="10" applyFont="1" applyBorder="1" applyAlignment="1">
      <alignment horizontal="right"/>
    </xf>
    <xf numFmtId="167" fontId="24" fillId="0" borderId="2" xfId="1" applyNumberFormat="1" applyFont="1" applyFill="1" applyBorder="1" applyAlignment="1">
      <alignment horizontal="right"/>
    </xf>
    <xf numFmtId="44" fontId="24" fillId="0" borderId="14" xfId="2" applyFont="1" applyBorder="1"/>
    <xf numFmtId="10" fontId="24" fillId="0" borderId="2" xfId="3" applyNumberFormat="1" applyFont="1" applyBorder="1"/>
    <xf numFmtId="10" fontId="24" fillId="0" borderId="8" xfId="10" applyNumberFormat="1" applyFont="1" applyBorder="1"/>
    <xf numFmtId="0" fontId="85" fillId="0" borderId="2" xfId="10" applyFont="1" applyBorder="1" applyAlignment="1">
      <alignment horizontal="center"/>
    </xf>
    <xf numFmtId="0" fontId="85" fillId="0" borderId="14" xfId="10" applyFont="1" applyBorder="1" applyAlignment="1">
      <alignment horizontal="left"/>
    </xf>
    <xf numFmtId="0" fontId="85" fillId="0" borderId="8" xfId="10" applyFont="1" applyBorder="1" applyAlignment="1">
      <alignment horizontal="left"/>
    </xf>
    <xf numFmtId="0" fontId="85" fillId="0" borderId="13" xfId="10" applyFont="1" applyBorder="1" applyAlignment="1">
      <alignment horizontal="left"/>
    </xf>
    <xf numFmtId="0" fontId="85" fillId="0" borderId="9" xfId="10" applyFont="1" applyBorder="1" applyAlignment="1">
      <alignment horizontal="left"/>
    </xf>
    <xf numFmtId="10" fontId="85" fillId="0" borderId="13" xfId="10" applyNumberFormat="1" applyFont="1" applyBorder="1" applyAlignment="1">
      <alignment horizontal="left"/>
    </xf>
    <xf numFmtId="10" fontId="85" fillId="0" borderId="9" xfId="10" applyNumberFormat="1" applyFont="1" applyBorder="1" applyAlignment="1">
      <alignment horizontal="left"/>
    </xf>
    <xf numFmtId="164" fontId="85" fillId="0" borderId="13" xfId="2" applyNumberFormat="1" applyFont="1" applyBorder="1" applyAlignment="1">
      <alignment horizontal="left"/>
    </xf>
    <xf numFmtId="164" fontId="85" fillId="0" borderId="9" xfId="10" applyNumberFormat="1" applyFont="1" applyBorder="1" applyAlignment="1">
      <alignment horizontal="left"/>
    </xf>
    <xf numFmtId="164" fontId="85" fillId="0" borderId="13" xfId="10" applyNumberFormat="1" applyFont="1" applyBorder="1" applyAlignment="1">
      <alignment horizontal="left"/>
    </xf>
    <xf numFmtId="164" fontId="24" fillId="0" borderId="0" xfId="10" applyNumberFormat="1" applyFont="1"/>
    <xf numFmtId="0" fontId="43" fillId="0" borderId="0" xfId="10"/>
    <xf numFmtId="0" fontId="87" fillId="0" borderId="0" xfId="18" applyFont="1" applyAlignment="1">
      <alignment horizontal="center"/>
    </xf>
    <xf numFmtId="0" fontId="88" fillId="0" borderId="0" xfId="18" applyFont="1" applyAlignment="1">
      <alignment horizontal="center"/>
    </xf>
    <xf numFmtId="0" fontId="88" fillId="0" borderId="0" xfId="18" applyFont="1"/>
    <xf numFmtId="0" fontId="88" fillId="0" borderId="0" xfId="19" applyFont="1" applyAlignment="1">
      <alignment horizontal="center"/>
    </xf>
    <xf numFmtId="0" fontId="89" fillId="0" borderId="0" xfId="18" applyFont="1" applyAlignment="1">
      <alignment horizontal="center"/>
    </xf>
    <xf numFmtId="37" fontId="88" fillId="0" borderId="0" xfId="18" applyNumberFormat="1" applyFont="1" applyAlignment="1" applyProtection="1">
      <alignment horizontal="center"/>
      <protection locked="0"/>
    </xf>
    <xf numFmtId="7" fontId="88" fillId="0" borderId="0" xfId="18" applyNumberFormat="1" applyFont="1" applyAlignment="1">
      <alignment horizontal="center"/>
    </xf>
    <xf numFmtId="172" fontId="88" fillId="0" borderId="0" xfId="20" applyNumberFormat="1" applyFont="1" applyAlignment="1">
      <alignment horizontal="center"/>
    </xf>
    <xf numFmtId="37" fontId="90" fillId="0" borderId="0" xfId="18" applyNumberFormat="1" applyFont="1" applyAlignment="1" applyProtection="1">
      <alignment horizontal="center"/>
      <protection locked="0"/>
    </xf>
    <xf numFmtId="7" fontId="88" fillId="0" borderId="0" xfId="18" applyNumberFormat="1" applyFont="1"/>
    <xf numFmtId="37" fontId="87" fillId="0" borderId="0" xfId="18" applyNumberFormat="1" applyFont="1" applyAlignment="1" applyProtection="1">
      <alignment horizontal="center"/>
      <protection locked="0"/>
    </xf>
    <xf numFmtId="7" fontId="87" fillId="0" borderId="0" xfId="18" applyNumberFormat="1" applyFont="1" applyAlignment="1">
      <alignment horizontal="center"/>
    </xf>
    <xf numFmtId="7" fontId="87" fillId="0" borderId="0" xfId="18" applyNumberFormat="1" applyFont="1"/>
    <xf numFmtId="0" fontId="88" fillId="0" borderId="0" xfId="21" applyFont="1"/>
    <xf numFmtId="43" fontId="92" fillId="0" borderId="0" xfId="22" quotePrefix="1" applyFont="1" applyAlignment="1">
      <alignment horizontal="right"/>
    </xf>
    <xf numFmtId="43" fontId="92" fillId="0" borderId="0" xfId="22" applyFont="1" applyAlignment="1">
      <alignment horizontal="right"/>
    </xf>
    <xf numFmtId="43" fontId="94" fillId="0" borderId="0" xfId="22" applyFont="1" applyAlignment="1">
      <alignment horizontal="right"/>
    </xf>
    <xf numFmtId="7" fontId="91" fillId="0" borderId="0" xfId="23" applyNumberFormat="1" applyFont="1"/>
    <xf numFmtId="181" fontId="92" fillId="0" borderId="0" xfId="23" applyNumberFormat="1" applyFont="1"/>
    <xf numFmtId="7" fontId="92" fillId="0" borderId="0" xfId="23" applyNumberFormat="1" applyFont="1"/>
    <xf numFmtId="0" fontId="91" fillId="0" borderId="0" xfId="23" applyFont="1" applyAlignment="1">
      <alignment horizontal="left"/>
    </xf>
    <xf numFmtId="182" fontId="91" fillId="0" borderId="0" xfId="23" applyNumberFormat="1" applyFont="1"/>
    <xf numFmtId="182" fontId="92" fillId="0" borderId="0" xfId="23" applyNumberFormat="1" applyFont="1"/>
    <xf numFmtId="7" fontId="43" fillId="0" borderId="0" xfId="10" applyNumberFormat="1"/>
    <xf numFmtId="9" fontId="88" fillId="0" borderId="0" xfId="3" applyFont="1"/>
    <xf numFmtId="0" fontId="87" fillId="0" borderId="0" xfId="18" quotePrefix="1" applyFont="1" applyAlignment="1">
      <alignment horizontal="center"/>
    </xf>
    <xf numFmtId="0" fontId="87" fillId="0" borderId="0" xfId="18" applyFont="1"/>
    <xf numFmtId="183" fontId="88" fillId="0" borderId="0" xfId="21" applyNumberFormat="1" applyFont="1"/>
    <xf numFmtId="0" fontId="88" fillId="0" borderId="0" xfId="21" applyFont="1" applyAlignment="1">
      <alignment horizontal="center"/>
    </xf>
    <xf numFmtId="37" fontId="88" fillId="0" borderId="0" xfId="21" applyNumberFormat="1" applyFont="1" applyAlignment="1">
      <alignment horizontal="center"/>
    </xf>
    <xf numFmtId="7" fontId="88" fillId="0" borderId="0" xfId="21" applyNumberFormat="1" applyFont="1" applyAlignment="1">
      <alignment horizontal="center"/>
    </xf>
    <xf numFmtId="7" fontId="88" fillId="0" borderId="0" xfId="21" applyNumberFormat="1" applyFont="1"/>
    <xf numFmtId="172" fontId="88" fillId="0" borderId="0" xfId="24" applyNumberFormat="1" applyFont="1" applyAlignment="1">
      <alignment horizontal="center"/>
    </xf>
    <xf numFmtId="0" fontId="88" fillId="0" borderId="0" xfId="14" applyFont="1"/>
    <xf numFmtId="7" fontId="96" fillId="0" borderId="0" xfId="25" applyNumberFormat="1" applyFont="1" applyAlignment="1">
      <alignment horizontal="right"/>
    </xf>
    <xf numFmtId="0" fontId="87" fillId="0" borderId="0" xfId="26" applyFont="1"/>
    <xf numFmtId="0" fontId="90" fillId="0" borderId="0" xfId="21" applyFont="1"/>
    <xf numFmtId="0" fontId="89" fillId="0" borderId="0" xfId="21" applyFont="1" applyAlignment="1">
      <alignment horizontal="center"/>
    </xf>
    <xf numFmtId="9" fontId="89" fillId="0" borderId="0" xfId="3" applyFont="1" applyAlignment="1">
      <alignment horizontal="center"/>
    </xf>
    <xf numFmtId="37" fontId="88" fillId="0" borderId="0" xfId="21" applyNumberFormat="1" applyFont="1" applyAlignment="1" applyProtection="1">
      <alignment horizontal="center"/>
      <protection locked="0"/>
    </xf>
    <xf numFmtId="164" fontId="88" fillId="0" borderId="0" xfId="2" applyNumberFormat="1" applyFont="1" applyAlignment="1">
      <alignment horizontal="center"/>
    </xf>
    <xf numFmtId="172" fontId="88" fillId="0" borderId="0" xfId="3" applyNumberFormat="1" applyFont="1" applyAlignment="1">
      <alignment horizontal="center"/>
    </xf>
    <xf numFmtId="172" fontId="89" fillId="0" borderId="0" xfId="3" applyNumberFormat="1" applyFont="1" applyAlignment="1">
      <alignment horizontal="center"/>
    </xf>
    <xf numFmtId="37" fontId="87" fillId="0" borderId="0" xfId="21" applyNumberFormat="1" applyFont="1" applyAlignment="1">
      <alignment horizontal="center"/>
    </xf>
    <xf numFmtId="7" fontId="87" fillId="0" borderId="0" xfId="21" applyNumberFormat="1" applyFont="1" applyAlignment="1">
      <alignment horizontal="center"/>
    </xf>
    <xf numFmtId="7" fontId="87" fillId="0" borderId="0" xfId="21" applyNumberFormat="1" applyFont="1"/>
    <xf numFmtId="172" fontId="87" fillId="0" borderId="0" xfId="3" applyNumberFormat="1" applyFont="1" applyAlignment="1">
      <alignment horizontal="center"/>
    </xf>
    <xf numFmtId="37" fontId="87" fillId="0" borderId="0" xfId="21" applyNumberFormat="1" applyFont="1" applyAlignment="1" applyProtection="1">
      <alignment horizontal="center"/>
      <protection locked="0"/>
    </xf>
    <xf numFmtId="172" fontId="87" fillId="0" borderId="0" xfId="24" applyNumberFormat="1" applyFont="1" applyAlignment="1">
      <alignment horizontal="center"/>
    </xf>
    <xf numFmtId="172" fontId="88" fillId="0" borderId="0" xfId="21" applyNumberFormat="1" applyFont="1"/>
    <xf numFmtId="43" fontId="88" fillId="0" borderId="0" xfId="1" applyFont="1"/>
    <xf numFmtId="8" fontId="87" fillId="0" borderId="0" xfId="21" applyNumberFormat="1" applyFont="1" applyAlignment="1">
      <alignment horizontal="center"/>
    </xf>
    <xf numFmtId="0" fontId="87" fillId="0" borderId="0" xfId="21" applyFont="1"/>
    <xf numFmtId="7" fontId="88" fillId="0" borderId="0" xfId="25" applyNumberFormat="1" applyFont="1"/>
    <xf numFmtId="0" fontId="88" fillId="0" borderId="0" xfId="27" applyFont="1" applyAlignment="1">
      <alignment horizontal="left"/>
    </xf>
    <xf numFmtId="164" fontId="88" fillId="0" borderId="0" xfId="2" applyNumberFormat="1" applyFont="1" applyFill="1" applyAlignment="1">
      <alignment horizontal="center"/>
    </xf>
    <xf numFmtId="172" fontId="88" fillId="0" borderId="0" xfId="24" applyNumberFormat="1" applyFont="1" applyFill="1" applyAlignment="1">
      <alignment horizontal="center"/>
    </xf>
    <xf numFmtId="172" fontId="87" fillId="0" borderId="0" xfId="24" applyNumberFormat="1" applyFont="1" applyFill="1" applyAlignment="1">
      <alignment horizontal="center"/>
    </xf>
    <xf numFmtId="17" fontId="91" fillId="0" borderId="0" xfId="22" applyNumberFormat="1" applyFont="1" applyFill="1" applyAlignment="1">
      <alignment horizontal="right"/>
    </xf>
    <xf numFmtId="7" fontId="96" fillId="0" borderId="0" xfId="25" applyNumberFormat="1" applyFont="1" applyFill="1" applyAlignment="1">
      <alignment horizontal="right"/>
    </xf>
    <xf numFmtId="7" fontId="98" fillId="0" borderId="0" xfId="25" applyNumberFormat="1" applyFont="1" applyFill="1"/>
    <xf numFmtId="7" fontId="88" fillId="0" borderId="0" xfId="25" applyNumberFormat="1" applyFont="1" applyFill="1"/>
    <xf numFmtId="0" fontId="88" fillId="0" borderId="0" xfId="27" applyFont="1"/>
    <xf numFmtId="0" fontId="99" fillId="0" borderId="0" xfId="5" applyFont="1"/>
    <xf numFmtId="167" fontId="100" fillId="0" borderId="0" xfId="5" applyNumberFormat="1" applyFont="1" applyAlignment="1">
      <alignment horizontal="left" vertical="top" wrapText="1"/>
    </xf>
    <xf numFmtId="0" fontId="100" fillId="0" borderId="0" xfId="5" applyFont="1"/>
    <xf numFmtId="167" fontId="100" fillId="0" borderId="0" xfId="1" applyNumberFormat="1" applyFont="1" applyAlignment="1">
      <alignment horizontal="left" vertical="top" wrapText="1"/>
    </xf>
    <xf numFmtId="167" fontId="99" fillId="0" borderId="0" xfId="5" applyNumberFormat="1" applyFont="1"/>
    <xf numFmtId="1" fontId="99" fillId="0" borderId="0" xfId="5" applyNumberFormat="1" applyFont="1"/>
    <xf numFmtId="167" fontId="100" fillId="0" borderId="0" xfId="5" applyNumberFormat="1" applyFont="1"/>
    <xf numFmtId="43" fontId="99" fillId="0" borderId="0" xfId="5" applyNumberFormat="1" applyFont="1"/>
    <xf numFmtId="167" fontId="6" fillId="21" borderId="17" xfId="5" applyNumberFormat="1" applyFont="1" applyFill="1" applyBorder="1" applyAlignment="1" applyProtection="1">
      <alignment horizontal="center" vertical="top" wrapText="1"/>
      <protection locked="0"/>
    </xf>
    <xf numFmtId="167" fontId="6" fillId="21" borderId="17" xfId="1" applyNumberFormat="1" applyFont="1" applyFill="1" applyBorder="1" applyAlignment="1" applyProtection="1">
      <alignment horizontal="center" vertical="top" wrapText="1"/>
      <protection locked="0"/>
    </xf>
    <xf numFmtId="43" fontId="20" fillId="0" borderId="0" xfId="5" applyNumberFormat="1"/>
    <xf numFmtId="165" fontId="99" fillId="0" borderId="0" xfId="5" applyNumberFormat="1" applyFont="1"/>
    <xf numFmtId="0" fontId="80" fillId="0" borderId="0" xfId="16" applyFont="1" applyAlignment="1">
      <alignment horizontal="left" wrapText="1"/>
    </xf>
    <xf numFmtId="0" fontId="6" fillId="0" borderId="0" xfId="0" applyFont="1" applyAlignment="1">
      <alignment horizontal="left" vertical="center"/>
    </xf>
    <xf numFmtId="10" fontId="88" fillId="0" borderId="0" xfId="18" applyNumberFormat="1" applyFont="1" applyAlignment="1">
      <alignment horizontal="right"/>
    </xf>
    <xf numFmtId="10" fontId="88" fillId="0" borderId="0" xfId="18" applyNumberFormat="1" applyFont="1"/>
    <xf numFmtId="44" fontId="89" fillId="0" borderId="0" xfId="2" applyFont="1" applyFill="1" applyAlignment="1">
      <alignment horizontal="center"/>
    </xf>
    <xf numFmtId="44" fontId="88" fillId="0" borderId="0" xfId="2" applyFont="1" applyFill="1" applyAlignment="1">
      <alignment horizontal="center"/>
    </xf>
    <xf numFmtId="44" fontId="87" fillId="0" borderId="0" xfId="2" applyFont="1" applyFill="1" applyAlignment="1">
      <alignment horizontal="center"/>
    </xf>
    <xf numFmtId="44" fontId="88" fillId="0" borderId="0" xfId="2" applyFont="1" applyFill="1"/>
    <xf numFmtId="17" fontId="91" fillId="0" borderId="0" xfId="22" quotePrefix="1" applyNumberFormat="1" applyFont="1" applyFill="1" applyAlignment="1">
      <alignment horizontal="right"/>
    </xf>
    <xf numFmtId="44" fontId="91" fillId="0" borderId="0" xfId="2" applyFont="1" applyFill="1" applyAlignment="1"/>
    <xf numFmtId="43" fontId="88" fillId="0" borderId="0" xfId="22" applyFont="1" applyFill="1"/>
    <xf numFmtId="43" fontId="93" fillId="0" borderId="0" xfId="22" applyFont="1" applyFill="1" applyAlignment="1">
      <alignment horizontal="right"/>
    </xf>
    <xf numFmtId="44" fontId="93" fillId="0" borderId="0" xfId="2" applyFont="1" applyFill="1" applyAlignment="1">
      <alignment horizontal="right"/>
    </xf>
    <xf numFmtId="9" fontId="88" fillId="0" borderId="0" xfId="24" applyFont="1" applyFill="1"/>
    <xf numFmtId="0" fontId="88" fillId="0" borderId="0" xfId="14" applyFont="1" applyAlignment="1">
      <alignment horizontal="center"/>
    </xf>
    <xf numFmtId="0" fontId="87" fillId="0" borderId="0" xfId="21" applyFont="1" applyAlignment="1">
      <alignment horizontal="right"/>
    </xf>
    <xf numFmtId="10" fontId="88" fillId="0" borderId="0" xfId="21" applyNumberFormat="1" applyFont="1"/>
    <xf numFmtId="164" fontId="89" fillId="0" borderId="0" xfId="2" applyNumberFormat="1" applyFont="1" applyFill="1" applyAlignment="1">
      <alignment horizontal="center"/>
    </xf>
    <xf numFmtId="164" fontId="87" fillId="0" borderId="0" xfId="2" applyNumberFormat="1" applyFont="1" applyFill="1" applyAlignment="1">
      <alignment horizontal="center"/>
    </xf>
    <xf numFmtId="7" fontId="88" fillId="0" borderId="0" xfId="14" applyNumberFormat="1" applyFont="1"/>
    <xf numFmtId="10" fontId="88" fillId="0" borderId="0" xfId="21" applyNumberFormat="1" applyFont="1" applyAlignment="1">
      <alignment horizontal="right"/>
    </xf>
    <xf numFmtId="39" fontId="87" fillId="0" borderId="0" xfId="21" applyNumberFormat="1" applyFont="1"/>
    <xf numFmtId="7" fontId="97" fillId="0" borderId="0" xfId="21" applyNumberFormat="1" applyFont="1"/>
    <xf numFmtId="7" fontId="88" fillId="0" borderId="0" xfId="22" applyNumberFormat="1" applyFont="1" applyFill="1"/>
    <xf numFmtId="9" fontId="88" fillId="0" borderId="0" xfId="27" applyNumberFormat="1" applyFont="1" applyProtection="1">
      <protection locked="0"/>
    </xf>
    <xf numFmtId="176" fontId="6" fillId="6" borderId="1" xfId="2" applyNumberFormat="1" applyFont="1" applyFill="1" applyBorder="1" applyAlignment="1">
      <alignment horizontal="right"/>
    </xf>
    <xf numFmtId="0" fontId="19" fillId="0" borderId="6" xfId="5" applyFont="1" applyBorder="1" applyAlignment="1">
      <alignment horizontal="left" vertical="center"/>
    </xf>
    <xf numFmtId="167" fontId="6" fillId="6" borderId="1" xfId="1" applyNumberFormat="1" applyFont="1" applyFill="1" applyBorder="1" applyAlignment="1">
      <alignment horizontal="center"/>
    </xf>
    <xf numFmtId="177" fontId="1" fillId="0" borderId="0" xfId="8" applyNumberFormat="1" applyFont="1" applyFill="1" applyBorder="1"/>
    <xf numFmtId="0" fontId="19" fillId="0" borderId="0" xfId="5" applyFont="1" applyAlignment="1">
      <alignment horizontal="left" vertical="top" wrapText="1"/>
    </xf>
    <xf numFmtId="10" fontId="6" fillId="3" borderId="6" xfId="3" applyNumberFormat="1" applyFont="1" applyFill="1" applyBorder="1" applyAlignment="1">
      <alignment horizontal="right" vertical="center"/>
    </xf>
    <xf numFmtId="0" fontId="6" fillId="0" borderId="0" xfId="0" applyFont="1" applyAlignment="1">
      <alignment vertical="top" wrapText="1"/>
    </xf>
    <xf numFmtId="0" fontId="6" fillId="0" borderId="0" xfId="0" applyFont="1" applyAlignment="1">
      <alignment vertical="top"/>
    </xf>
    <xf numFmtId="0" fontId="6" fillId="0" borderId="14" xfId="0" applyFont="1" applyBorder="1" applyAlignment="1">
      <alignment horizontal="left" indent="2"/>
    </xf>
    <xf numFmtId="0" fontId="6" fillId="0" borderId="7" xfId="0" applyFont="1" applyBorder="1" applyAlignment="1">
      <alignment vertical="top" wrapText="1"/>
    </xf>
    <xf numFmtId="0" fontId="6" fillId="0" borderId="6" xfId="0" applyFont="1" applyBorder="1" applyAlignment="1">
      <alignment vertical="top" wrapText="1"/>
    </xf>
    <xf numFmtId="184" fontId="0" fillId="0" borderId="1" xfId="0" applyNumberFormat="1" applyBorder="1"/>
    <xf numFmtId="184" fontId="0" fillId="0" borderId="6" xfId="0" applyNumberFormat="1" applyBorder="1"/>
    <xf numFmtId="184" fontId="0" fillId="0" borderId="8" xfId="0" applyNumberFormat="1" applyBorder="1"/>
    <xf numFmtId="10" fontId="6" fillId="0" borderId="1" xfId="3" applyNumberFormat="1" applyFont="1" applyFill="1" applyBorder="1"/>
    <xf numFmtId="10" fontId="6" fillId="0" borderId="6" xfId="3" applyNumberFormat="1" applyFont="1" applyFill="1" applyBorder="1"/>
    <xf numFmtId="10" fontId="6" fillId="0" borderId="1" xfId="3" applyNumberFormat="1" applyFont="1" applyBorder="1"/>
    <xf numFmtId="10" fontId="6" fillId="0" borderId="6" xfId="3" applyNumberFormat="1" applyFont="1" applyBorder="1"/>
    <xf numFmtId="167" fontId="20" fillId="3" borderId="0" xfId="1" applyNumberFormat="1" applyFont="1" applyFill="1" applyBorder="1"/>
    <xf numFmtId="167" fontId="20" fillId="3" borderId="2" xfId="1" applyNumberFormat="1" applyFont="1" applyFill="1" applyBorder="1"/>
    <xf numFmtId="0" fontId="39" fillId="21" borderId="2" xfId="5" applyFont="1" applyFill="1" applyBorder="1" applyAlignment="1">
      <alignment horizontal="left"/>
    </xf>
    <xf numFmtId="0" fontId="27" fillId="12" borderId="11" xfId="5" applyFont="1" applyFill="1" applyBorder="1" applyAlignment="1">
      <alignment horizontal="center" vertical="center" wrapText="1"/>
    </xf>
    <xf numFmtId="0" fontId="27" fillId="12" borderId="12" xfId="5" applyFont="1" applyFill="1" applyBorder="1" applyAlignment="1">
      <alignment horizontal="center" vertical="center" wrapText="1"/>
    </xf>
    <xf numFmtId="0" fontId="67" fillId="12" borderId="14" xfId="5" applyFont="1" applyFill="1" applyBorder="1" applyAlignment="1">
      <alignment horizontal="center" vertical="center" wrapText="1"/>
    </xf>
    <xf numFmtId="0" fontId="67" fillId="12" borderId="2" xfId="5" applyFont="1" applyFill="1" applyBorder="1" applyAlignment="1">
      <alignment horizontal="center" vertical="center" wrapText="1"/>
    </xf>
    <xf numFmtId="0" fontId="30" fillId="12" borderId="2" xfId="5" applyFont="1" applyFill="1" applyBorder="1" applyAlignment="1">
      <alignment horizontal="center" vertical="center" wrapText="1"/>
    </xf>
    <xf numFmtId="0" fontId="30" fillId="12" borderId="8" xfId="5" applyFont="1" applyFill="1" applyBorder="1" applyAlignment="1">
      <alignment horizontal="center" vertical="center" wrapText="1"/>
    </xf>
    <xf numFmtId="167" fontId="20" fillId="0" borderId="6" xfId="1" applyNumberFormat="1" applyFont="1" applyFill="1" applyBorder="1"/>
    <xf numFmtId="0" fontId="27" fillId="12" borderId="1" xfId="5" applyFont="1" applyFill="1" applyBorder="1" applyAlignment="1">
      <alignment horizontal="right"/>
    </xf>
    <xf numFmtId="0" fontId="39" fillId="21" borderId="8" xfId="5" applyFont="1" applyFill="1" applyBorder="1" applyAlignment="1">
      <alignment horizontal="left"/>
    </xf>
    <xf numFmtId="0" fontId="30" fillId="12" borderId="14" xfId="5" applyFont="1" applyFill="1" applyBorder="1" applyAlignment="1">
      <alignment horizontal="center" vertical="center" wrapText="1"/>
    </xf>
    <xf numFmtId="167" fontId="20" fillId="0" borderId="10" xfId="1" applyNumberFormat="1" applyFont="1" applyBorder="1" applyAlignment="1">
      <alignment horizontal="left"/>
    </xf>
    <xf numFmtId="167" fontId="20" fillId="0" borderId="13" xfId="1" applyNumberFormat="1" applyFont="1" applyBorder="1" applyAlignment="1">
      <alignment horizontal="left"/>
    </xf>
    <xf numFmtId="0" fontId="20" fillId="0" borderId="13" xfId="5" applyBorder="1"/>
    <xf numFmtId="0" fontId="20" fillId="0" borderId="14" xfId="5" applyBorder="1"/>
    <xf numFmtId="0" fontId="20" fillId="0" borderId="9" xfId="5" applyBorder="1"/>
    <xf numFmtId="0" fontId="20" fillId="0" borderId="8" xfId="5" applyBorder="1"/>
    <xf numFmtId="0" fontId="9" fillId="12" borderId="9" xfId="0" applyFont="1" applyFill="1" applyBorder="1" applyAlignment="1">
      <alignment horizontal="left" vertical="top"/>
    </xf>
    <xf numFmtId="0" fontId="19" fillId="0" borderId="0" xfId="5" applyFont="1" applyAlignment="1">
      <alignment horizontal="left" vertical="center"/>
    </xf>
    <xf numFmtId="0" fontId="23" fillId="0" borderId="0" xfId="5" applyFont="1" applyAlignment="1">
      <alignment vertical="center"/>
    </xf>
    <xf numFmtId="0" fontId="19" fillId="0" borderId="4" xfId="5" applyFont="1" applyBorder="1" applyAlignment="1">
      <alignment vertical="top"/>
    </xf>
    <xf numFmtId="0" fontId="19" fillId="0" borderId="5" xfId="5" applyFont="1" applyBorder="1" applyAlignment="1">
      <alignment horizontal="left" vertical="top"/>
    </xf>
    <xf numFmtId="0" fontId="30" fillId="12" borderId="5" xfId="5" applyFont="1" applyFill="1" applyBorder="1" applyAlignment="1">
      <alignment vertical="top"/>
    </xf>
    <xf numFmtId="9" fontId="19" fillId="0" borderId="9" xfId="3" applyFont="1" applyBorder="1" applyAlignment="1">
      <alignment horizontal="left" vertical="center"/>
    </xf>
    <xf numFmtId="0" fontId="19" fillId="0" borderId="9" xfId="5" applyFont="1" applyBorder="1" applyAlignment="1">
      <alignment vertical="center"/>
    </xf>
    <xf numFmtId="0" fontId="19" fillId="0" borderId="14" xfId="5" applyFont="1" applyBorder="1" applyAlignment="1">
      <alignment vertical="center"/>
    </xf>
    <xf numFmtId="0" fontId="12" fillId="12" borderId="0" xfId="0" applyFont="1" applyFill="1" applyAlignment="1">
      <alignment horizontal="left" vertical="center"/>
    </xf>
    <xf numFmtId="0" fontId="6" fillId="25" borderId="13" xfId="8" applyNumberFormat="1" applyFont="1" applyFill="1" applyBorder="1"/>
    <xf numFmtId="0" fontId="0" fillId="25" borderId="9" xfId="0" applyFill="1" applyBorder="1"/>
    <xf numFmtId="0" fontId="6" fillId="25" borderId="14" xfId="8" applyNumberFormat="1" applyFont="1" applyFill="1" applyBorder="1"/>
    <xf numFmtId="0" fontId="0" fillId="25" borderId="8" xfId="0" applyFill="1" applyBorder="1"/>
    <xf numFmtId="0" fontId="0" fillId="25" borderId="2" xfId="0" applyFill="1" applyBorder="1"/>
    <xf numFmtId="167" fontId="6" fillId="0" borderId="0" xfId="8" applyNumberFormat="1" applyFont="1" applyFill="1" applyBorder="1"/>
    <xf numFmtId="43" fontId="35" fillId="0" borderId="0" xfId="0" applyNumberFormat="1" applyFont="1"/>
    <xf numFmtId="0" fontId="101" fillId="0" borderId="0" xfId="0" applyFont="1"/>
    <xf numFmtId="9" fontId="0" fillId="0" borderId="0" xfId="3" applyFont="1"/>
    <xf numFmtId="167" fontId="0" fillId="0" borderId="9" xfId="1" applyNumberFormat="1" applyFont="1" applyBorder="1" applyAlignment="1">
      <alignment horizontal="left"/>
    </xf>
    <xf numFmtId="167" fontId="34" fillId="0" borderId="0" xfId="5" applyNumberFormat="1" applyFont="1"/>
    <xf numFmtId="0" fontId="102" fillId="0" borderId="0" xfId="5" applyFont="1"/>
    <xf numFmtId="167" fontId="34" fillId="0" borderId="0" xfId="1" applyNumberFormat="1" applyFont="1" applyBorder="1"/>
    <xf numFmtId="1" fontId="34" fillId="0" borderId="0" xfId="5" applyNumberFormat="1" applyFont="1"/>
    <xf numFmtId="167" fontId="6" fillId="0" borderId="0" xfId="1" applyNumberFormat="1" applyFont="1" applyFill="1"/>
    <xf numFmtId="0" fontId="12" fillId="12" borderId="8" xfId="0" applyFont="1" applyFill="1" applyBorder="1" applyAlignment="1">
      <alignment horizontal="left" vertical="center"/>
    </xf>
    <xf numFmtId="167" fontId="70" fillId="0" borderId="3" xfId="1" applyNumberFormat="1" applyFont="1" applyBorder="1" applyAlignment="1">
      <alignment horizontal="left" indent="1"/>
    </xf>
    <xf numFmtId="167" fontId="0" fillId="3" borderId="13" xfId="1" applyNumberFormat="1" applyFont="1" applyFill="1" applyBorder="1"/>
    <xf numFmtId="167" fontId="0" fillId="3" borderId="14" xfId="1" applyNumberFormat="1" applyFont="1" applyFill="1" applyBorder="1"/>
    <xf numFmtId="9" fontId="0" fillId="0" borderId="2" xfId="3" applyFont="1" applyFill="1" applyBorder="1"/>
    <xf numFmtId="0" fontId="6" fillId="25" borderId="0" xfId="8" applyNumberFormat="1" applyFont="1" applyFill="1" applyBorder="1"/>
    <xf numFmtId="0" fontId="6" fillId="25" borderId="2" xfId="8" applyNumberFormat="1" applyFont="1" applyFill="1" applyBorder="1"/>
    <xf numFmtId="49" fontId="8" fillId="0" borderId="2" xfId="0" applyNumberFormat="1" applyFont="1" applyBorder="1"/>
    <xf numFmtId="167" fontId="6" fillId="0" borderId="2" xfId="8" applyNumberFormat="1" applyFont="1" applyFill="1" applyBorder="1"/>
    <xf numFmtId="166" fontId="20" fillId="0" borderId="0" xfId="5" applyNumberFormat="1"/>
    <xf numFmtId="167" fontId="26" fillId="0" borderId="13" xfId="8" applyNumberFormat="1" applyFont="1" applyFill="1" applyBorder="1"/>
    <xf numFmtId="167" fontId="26" fillId="0" borderId="0" xfId="8" applyNumberFormat="1" applyFont="1" applyFill="1" applyBorder="1"/>
    <xf numFmtId="167" fontId="26" fillId="0" borderId="9" xfId="8" applyNumberFormat="1" applyFont="1" applyFill="1" applyBorder="1"/>
    <xf numFmtId="167" fontId="26" fillId="0" borderId="14" xfId="8" applyNumberFormat="1" applyFont="1" applyFill="1" applyBorder="1"/>
    <xf numFmtId="167" fontId="26" fillId="0" borderId="2" xfId="8" applyNumberFormat="1" applyFont="1" applyFill="1" applyBorder="1"/>
    <xf numFmtId="167" fontId="26" fillId="0" borderId="8" xfId="8" applyNumberFormat="1" applyFont="1" applyFill="1" applyBorder="1"/>
    <xf numFmtId="167" fontId="1" fillId="0" borderId="14" xfId="1" applyNumberFormat="1" applyFont="1" applyFill="1" applyBorder="1"/>
    <xf numFmtId="171" fontId="20" fillId="0" borderId="0" xfId="5" applyNumberFormat="1"/>
    <xf numFmtId="1" fontId="20" fillId="0" borderId="0" xfId="5" applyNumberFormat="1"/>
    <xf numFmtId="0" fontId="37" fillId="0" borderId="6" xfId="8" applyNumberFormat="1" applyFont="1" applyBorder="1"/>
    <xf numFmtId="167" fontId="26" fillId="0" borderId="0" xfId="8" applyNumberFormat="1" applyFont="1"/>
    <xf numFmtId="167" fontId="0" fillId="0" borderId="8" xfId="1" applyNumberFormat="1" applyFont="1" applyBorder="1" applyAlignment="1">
      <alignment horizontal="left"/>
    </xf>
    <xf numFmtId="167" fontId="6" fillId="0" borderId="2" xfId="1" applyNumberFormat="1" applyFont="1" applyBorder="1"/>
    <xf numFmtId="166" fontId="20" fillId="0" borderId="0" xfId="1" applyNumberFormat="1" applyFont="1"/>
    <xf numFmtId="166" fontId="20" fillId="0" borderId="2" xfId="1" applyNumberFormat="1" applyFont="1" applyBorder="1"/>
    <xf numFmtId="166" fontId="20" fillId="0" borderId="2" xfId="5" applyNumberFormat="1" applyBorder="1"/>
    <xf numFmtId="165" fontId="20" fillId="0" borderId="0" xfId="5" applyNumberFormat="1"/>
    <xf numFmtId="0" fontId="19" fillId="0" borderId="10" xfId="5" applyFont="1" applyBorder="1" applyAlignment="1">
      <alignment vertical="center"/>
    </xf>
    <xf numFmtId="9" fontId="19" fillId="0" borderId="12" xfId="5" applyNumberFormat="1" applyFont="1" applyBorder="1" applyAlignment="1">
      <alignment horizontal="left" vertical="center"/>
    </xf>
    <xf numFmtId="0" fontId="23" fillId="0" borderId="2" xfId="5" applyFont="1" applyBorder="1" applyAlignment="1">
      <alignment vertical="center"/>
    </xf>
    <xf numFmtId="0" fontId="6" fillId="0" borderId="2" xfId="0" applyFont="1" applyBorder="1"/>
    <xf numFmtId="1" fontId="35" fillId="0" borderId="0" xfId="0" applyNumberFormat="1" applyFont="1"/>
    <xf numFmtId="0" fontId="103" fillId="0" borderId="0" xfId="0" applyFont="1" applyAlignment="1">
      <alignment horizontal="left"/>
    </xf>
    <xf numFmtId="167" fontId="6" fillId="0" borderId="8" xfId="1" applyNumberFormat="1" applyFont="1" applyFill="1" applyBorder="1"/>
    <xf numFmtId="167" fontId="6" fillId="0" borderId="2" xfId="1" applyNumberFormat="1" applyFont="1" applyFill="1" applyBorder="1"/>
    <xf numFmtId="167" fontId="18" fillId="3" borderId="10" xfId="1" applyNumberFormat="1" applyFont="1" applyFill="1" applyBorder="1"/>
    <xf numFmtId="167" fontId="6" fillId="3" borderId="0" xfId="1" applyNumberFormat="1" applyFont="1" applyFill="1" applyBorder="1" applyAlignment="1">
      <alignment horizontal="center"/>
    </xf>
    <xf numFmtId="167" fontId="6" fillId="3" borderId="2" xfId="1" applyNumberFormat="1" applyFont="1" applyFill="1" applyBorder="1" applyAlignment="1">
      <alignment horizontal="center"/>
    </xf>
    <xf numFmtId="167" fontId="6" fillId="3" borderId="0" xfId="1" applyNumberFormat="1" applyFont="1" applyFill="1" applyBorder="1" applyAlignment="1"/>
    <xf numFmtId="167" fontId="6" fillId="3" borderId="12" xfId="1" applyNumberFormat="1" applyFont="1" applyFill="1" applyBorder="1" applyAlignment="1">
      <alignment horizontal="center"/>
    </xf>
    <xf numFmtId="167" fontId="6" fillId="3" borderId="9" xfId="1" applyNumberFormat="1" applyFont="1" applyFill="1" applyBorder="1" applyAlignment="1">
      <alignment horizontal="center"/>
    </xf>
    <xf numFmtId="167" fontId="6" fillId="3" borderId="8" xfId="1" applyNumberFormat="1" applyFont="1" applyFill="1" applyBorder="1" applyAlignment="1">
      <alignment horizontal="center"/>
    </xf>
    <xf numFmtId="167" fontId="6" fillId="3" borderId="7" xfId="8" applyNumberFormat="1" applyFont="1" applyFill="1" applyBorder="1" applyAlignment="1" applyProtection="1">
      <alignment horizontal="center" vertical="center"/>
      <protection locked="0"/>
    </xf>
    <xf numFmtId="167" fontId="6" fillId="3" borderId="1" xfId="8" applyNumberFormat="1" applyFont="1" applyFill="1" applyBorder="1" applyAlignment="1" applyProtection="1">
      <alignment horizontal="center" vertical="center"/>
      <protection locked="0"/>
    </xf>
    <xf numFmtId="167" fontId="6" fillId="3" borderId="6" xfId="8" applyNumberFormat="1" applyFont="1" applyFill="1" applyBorder="1" applyAlignment="1" applyProtection="1">
      <alignment horizontal="center" vertical="center"/>
      <protection locked="0"/>
    </xf>
    <xf numFmtId="167" fontId="6" fillId="3" borderId="0" xfId="8" applyNumberFormat="1" applyFont="1" applyFill="1" applyBorder="1" applyAlignment="1">
      <alignment horizontal="center" vertical="center"/>
    </xf>
    <xf numFmtId="167" fontId="6" fillId="3" borderId="0" xfId="8" applyNumberFormat="1" applyFont="1" applyFill="1" applyBorder="1" applyAlignment="1" applyProtection="1">
      <alignment horizontal="center" vertical="center"/>
      <protection locked="0"/>
    </xf>
    <xf numFmtId="167" fontId="6" fillId="3" borderId="2" xfId="8" applyNumberFormat="1" applyFont="1" applyFill="1" applyBorder="1" applyAlignment="1" applyProtection="1">
      <alignment horizontal="center" vertical="center"/>
      <protection locked="0"/>
    </xf>
    <xf numFmtId="0" fontId="9" fillId="12" borderId="10" xfId="5" applyFont="1" applyFill="1" applyBorder="1" applyAlignment="1" applyProtection="1">
      <alignment horizontal="left" vertical="top" wrapText="1"/>
      <protection locked="0"/>
    </xf>
    <xf numFmtId="0" fontId="6" fillId="11" borderId="10" xfId="5" applyFont="1" applyFill="1" applyBorder="1" applyProtection="1">
      <protection locked="0"/>
    </xf>
    <xf numFmtId="0" fontId="6" fillId="0" borderId="13" xfId="5" applyFont="1" applyBorder="1" applyProtection="1">
      <protection locked="0"/>
    </xf>
    <xf numFmtId="0" fontId="6" fillId="0" borderId="14" xfId="5" applyFont="1" applyBorder="1" applyProtection="1">
      <protection locked="0"/>
    </xf>
    <xf numFmtId="0" fontId="6" fillId="9" borderId="10" xfId="5" applyFont="1" applyFill="1" applyBorder="1" applyProtection="1">
      <protection locked="0"/>
    </xf>
    <xf numFmtId="0" fontId="6" fillId="21" borderId="2" xfId="5" applyFont="1" applyFill="1" applyBorder="1" applyAlignment="1" applyProtection="1">
      <alignment vertical="top" wrapText="1"/>
      <protection locked="0"/>
    </xf>
    <xf numFmtId="0" fontId="6" fillId="13" borderId="2" xfId="5" applyFont="1" applyFill="1" applyBorder="1" applyAlignment="1" applyProtection="1">
      <alignment vertical="top" wrapText="1"/>
      <protection locked="0"/>
    </xf>
    <xf numFmtId="43" fontId="6" fillId="3" borderId="1" xfId="1" applyFont="1" applyFill="1" applyBorder="1" applyProtection="1">
      <protection locked="0"/>
    </xf>
    <xf numFmtId="167" fontId="6" fillId="3" borderId="1" xfId="1" applyNumberFormat="1" applyFont="1" applyFill="1" applyBorder="1" applyProtection="1">
      <protection locked="0"/>
    </xf>
    <xf numFmtId="167" fontId="6" fillId="13" borderId="2" xfId="1" applyNumberFormat="1" applyFont="1" applyFill="1" applyBorder="1" applyAlignment="1" applyProtection="1">
      <alignment vertical="top" wrapText="1"/>
      <protection locked="0"/>
    </xf>
    <xf numFmtId="167" fontId="6" fillId="9" borderId="7" xfId="1" applyNumberFormat="1" applyFont="1" applyFill="1" applyBorder="1" applyProtection="1">
      <protection locked="0"/>
    </xf>
    <xf numFmtId="167" fontId="6" fillId="0" borderId="8" xfId="8" applyNumberFormat="1" applyFont="1" applyBorder="1" applyAlignment="1">
      <alignment horizontal="right" vertical="center"/>
    </xf>
    <xf numFmtId="0" fontId="0" fillId="3" borderId="9" xfId="0" applyFill="1" applyBorder="1" applyAlignment="1">
      <alignment horizontal="left"/>
    </xf>
    <xf numFmtId="0" fontId="0" fillId="3" borderId="8" xfId="0" applyFill="1" applyBorder="1" applyAlignment="1">
      <alignment horizontal="left"/>
    </xf>
    <xf numFmtId="179" fontId="0" fillId="0" borderId="0" xfId="0" applyNumberFormat="1"/>
    <xf numFmtId="185" fontId="0" fillId="0" borderId="0" xfId="0" applyNumberFormat="1"/>
    <xf numFmtId="186" fontId="0" fillId="0" borderId="0" xfId="0" applyNumberFormat="1"/>
    <xf numFmtId="187" fontId="0" fillId="0" borderId="0" xfId="0" applyNumberFormat="1"/>
    <xf numFmtId="188" fontId="0" fillId="0" borderId="0" xfId="0" applyNumberFormat="1"/>
    <xf numFmtId="167" fontId="0" fillId="3" borderId="0" xfId="1" applyNumberFormat="1" applyFont="1" applyFill="1" applyBorder="1"/>
    <xf numFmtId="167" fontId="19" fillId="0" borderId="9" xfId="1" applyNumberFormat="1" applyFont="1" applyBorder="1" applyAlignment="1">
      <alignment vertical="center"/>
    </xf>
    <xf numFmtId="172" fontId="0" fillId="0" borderId="11" xfId="3" applyNumberFormat="1" applyFont="1" applyBorder="1"/>
    <xf numFmtId="167" fontId="6" fillId="3" borderId="6" xfId="1" applyNumberFormat="1" applyFont="1" applyFill="1" applyBorder="1" applyProtection="1">
      <protection locked="0"/>
    </xf>
    <xf numFmtId="0" fontId="26" fillId="21" borderId="14" xfId="5" applyFont="1" applyFill="1" applyBorder="1" applyAlignment="1" applyProtection="1">
      <alignment horizontal="left" vertical="center" wrapText="1"/>
      <protection locked="0"/>
    </xf>
    <xf numFmtId="0" fontId="26" fillId="21" borderId="2" xfId="5" applyFont="1" applyFill="1" applyBorder="1" applyAlignment="1" applyProtection="1">
      <alignment horizontal="left" vertical="top" wrapText="1"/>
      <protection locked="0"/>
    </xf>
    <xf numFmtId="0" fontId="26" fillId="21" borderId="2" xfId="5" applyFont="1" applyFill="1" applyBorder="1" applyAlignment="1" applyProtection="1">
      <alignment horizontal="center" vertical="top" wrapText="1"/>
      <protection locked="0"/>
    </xf>
    <xf numFmtId="0" fontId="6" fillId="21" borderId="2" xfId="5" applyFont="1" applyFill="1" applyBorder="1" applyAlignment="1" applyProtection="1">
      <alignment horizontal="center" vertical="top" wrapText="1"/>
      <protection locked="0"/>
    </xf>
    <xf numFmtId="167" fontId="26" fillId="21" borderId="2" xfId="8" applyNumberFormat="1" applyFont="1" applyFill="1" applyBorder="1" applyAlignment="1" applyProtection="1">
      <alignment horizontal="left" vertical="top" wrapText="1"/>
      <protection locked="0"/>
    </xf>
    <xf numFmtId="166" fontId="6" fillId="21" borderId="2" xfId="8" applyNumberFormat="1" applyFont="1" applyFill="1" applyBorder="1" applyAlignment="1" applyProtection="1">
      <alignment horizontal="left" vertical="top" wrapText="1"/>
      <protection locked="0"/>
    </xf>
    <xf numFmtId="167" fontId="6" fillId="21" borderId="2" xfId="5" applyNumberFormat="1" applyFont="1" applyFill="1" applyBorder="1" applyAlignment="1" applyProtection="1">
      <alignment horizontal="left" vertical="top" wrapText="1"/>
      <protection locked="0"/>
    </xf>
    <xf numFmtId="166" fontId="6" fillId="21" borderId="2" xfId="5" applyNumberFormat="1" applyFont="1" applyFill="1" applyBorder="1" applyAlignment="1" applyProtection="1">
      <alignment horizontal="left" vertical="top" wrapText="1"/>
      <protection locked="0"/>
    </xf>
    <xf numFmtId="167" fontId="6" fillId="21" borderId="8" xfId="5" applyNumberFormat="1" applyFont="1" applyFill="1" applyBorder="1" applyAlignment="1" applyProtection="1">
      <alignment horizontal="left" vertical="top" wrapText="1"/>
      <protection locked="0"/>
    </xf>
    <xf numFmtId="166" fontId="6" fillId="0" borderId="2" xfId="8" applyNumberFormat="1" applyFont="1" applyBorder="1" applyAlignment="1">
      <alignment horizontal="right" vertical="center"/>
    </xf>
    <xf numFmtId="0" fontId="27" fillId="12" borderId="1" xfId="5" applyFont="1" applyFill="1" applyBorder="1" applyAlignment="1">
      <alignment horizontal="right" vertical="center"/>
    </xf>
    <xf numFmtId="0" fontId="12" fillId="12" borderId="4" xfId="0" applyFont="1" applyFill="1" applyBorder="1" applyAlignment="1">
      <alignment horizontal="left"/>
    </xf>
    <xf numFmtId="0" fontId="12" fillId="12" borderId="17" xfId="0" applyFont="1" applyFill="1" applyBorder="1" applyAlignment="1">
      <alignment horizontal="left"/>
    </xf>
    <xf numFmtId="166" fontId="75" fillId="27" borderId="3" xfId="1" applyNumberFormat="1" applyFont="1" applyFill="1" applyBorder="1" applyAlignment="1">
      <alignment horizontal="left"/>
    </xf>
    <xf numFmtId="166" fontId="70" fillId="0" borderId="3" xfId="1" applyNumberFormat="1" applyFont="1" applyFill="1" applyBorder="1" applyAlignment="1">
      <alignment horizontal="left" indent="1"/>
    </xf>
    <xf numFmtId="166" fontId="0" fillId="0" borderId="0" xfId="0" applyNumberFormat="1"/>
    <xf numFmtId="9" fontId="75" fillId="27" borderId="3" xfId="3" applyFont="1" applyFill="1" applyBorder="1" applyAlignment="1"/>
    <xf numFmtId="9" fontId="70" fillId="0" borderId="3" xfId="3" applyFont="1" applyFill="1" applyBorder="1" applyAlignment="1"/>
    <xf numFmtId="167" fontId="8" fillId="0" borderId="5" xfId="1" applyNumberFormat="1" applyFont="1" applyBorder="1"/>
    <xf numFmtId="172" fontId="8" fillId="0" borderId="17" xfId="3" applyNumberFormat="1" applyFont="1" applyBorder="1"/>
    <xf numFmtId="172" fontId="8" fillId="0" borderId="5" xfId="3" applyNumberFormat="1" applyFont="1" applyBorder="1"/>
    <xf numFmtId="0" fontId="66" fillId="0" borderId="3" xfId="5" applyFont="1" applyBorder="1" applyAlignment="1">
      <alignment horizontal="left" indent="2"/>
    </xf>
    <xf numFmtId="167" fontId="66" fillId="0" borderId="17" xfId="1" applyNumberFormat="1" applyFont="1" applyFill="1" applyBorder="1"/>
    <xf numFmtId="167" fontId="66" fillId="0" borderId="4" xfId="1" applyNumberFormat="1" applyFont="1" applyBorder="1" applyAlignment="1">
      <alignment horizontal="left"/>
    </xf>
    <xf numFmtId="167" fontId="8" fillId="0" borderId="5" xfId="1" applyNumberFormat="1" applyFont="1" applyFill="1" applyBorder="1"/>
    <xf numFmtId="0" fontId="29" fillId="0" borderId="0" xfId="5" applyFont="1" applyAlignment="1" applyProtection="1">
      <alignment horizontal="left"/>
      <protection locked="0"/>
    </xf>
    <xf numFmtId="0" fontId="29" fillId="0" borderId="0" xfId="5" applyFont="1" applyAlignment="1" applyProtection="1">
      <alignment horizontal="left" vertical="top"/>
      <protection locked="0"/>
    </xf>
    <xf numFmtId="0" fontId="29" fillId="0" borderId="0" xfId="5" applyFont="1" applyAlignment="1" applyProtection="1">
      <alignment horizontal="left" vertical="top" wrapText="1"/>
      <protection locked="0"/>
    </xf>
    <xf numFmtId="0" fontId="63" fillId="0" borderId="0" xfId="5" applyFont="1" applyAlignment="1" applyProtection="1">
      <alignment horizontal="left" vertical="top" wrapText="1"/>
      <protection locked="0"/>
    </xf>
    <xf numFmtId="0" fontId="9" fillId="0" borderId="0" xfId="5" applyFont="1" applyAlignment="1" applyProtection="1">
      <alignment horizontal="left" vertical="top" wrapText="1"/>
      <protection locked="0"/>
    </xf>
    <xf numFmtId="0" fontId="11" fillId="18" borderId="7" xfId="0" applyFont="1" applyFill="1" applyBorder="1" applyAlignment="1">
      <alignment horizontal="center" vertical="center" textRotation="90"/>
    </xf>
    <xf numFmtId="0" fontId="11" fillId="18" borderId="1" xfId="0" applyFont="1" applyFill="1" applyBorder="1" applyAlignment="1">
      <alignment horizontal="center" vertical="center" textRotation="90"/>
    </xf>
    <xf numFmtId="0" fontId="11" fillId="18" borderId="6" xfId="0" applyFont="1" applyFill="1" applyBorder="1" applyAlignment="1">
      <alignment horizontal="center" vertical="center" textRotation="90"/>
    </xf>
    <xf numFmtId="0" fontId="11" fillId="12" borderId="7" xfId="0" applyFont="1" applyFill="1" applyBorder="1" applyAlignment="1">
      <alignment horizontal="center" vertical="center" textRotation="90"/>
    </xf>
    <xf numFmtId="0" fontId="11" fillId="12" borderId="1" xfId="0" applyFont="1" applyFill="1" applyBorder="1" applyAlignment="1">
      <alignment horizontal="center" vertical="center" textRotation="90"/>
    </xf>
    <xf numFmtId="0" fontId="11" fillId="12" borderId="6" xfId="0" applyFont="1" applyFill="1" applyBorder="1" applyAlignment="1">
      <alignment horizontal="center" vertical="center" textRotation="90"/>
    </xf>
    <xf numFmtId="0" fontId="11" fillId="5" borderId="7" xfId="0" applyFont="1" applyFill="1" applyBorder="1" applyAlignment="1">
      <alignment horizontal="center" vertical="center" textRotation="90"/>
    </xf>
    <xf numFmtId="0" fontId="11" fillId="5" borderId="6" xfId="0" applyFont="1" applyFill="1" applyBorder="1" applyAlignment="1">
      <alignment horizontal="center" vertical="center" textRotation="90"/>
    </xf>
    <xf numFmtId="0" fontId="11" fillId="5" borderId="1" xfId="0" applyFont="1" applyFill="1" applyBorder="1" applyAlignment="1">
      <alignment horizontal="center" vertical="center" textRotation="90"/>
    </xf>
    <xf numFmtId="0" fontId="31" fillId="3" borderId="7" xfId="0" applyFont="1" applyFill="1" applyBorder="1" applyAlignment="1">
      <alignment horizontal="center" vertical="center" textRotation="90"/>
    </xf>
    <xf numFmtId="0" fontId="31" fillId="3" borderId="1" xfId="0" applyFont="1" applyFill="1" applyBorder="1" applyAlignment="1">
      <alignment horizontal="center" vertical="center" textRotation="90"/>
    </xf>
    <xf numFmtId="0" fontId="31" fillId="3" borderId="6" xfId="0" applyFont="1" applyFill="1" applyBorder="1" applyAlignment="1">
      <alignment horizontal="center" vertical="center" textRotation="90"/>
    </xf>
    <xf numFmtId="0" fontId="10" fillId="4" borderId="10" xfId="0" applyFont="1" applyFill="1" applyBorder="1" applyAlignment="1">
      <alignment horizontal="center" vertical="center" textRotation="90" wrapText="1"/>
    </xf>
    <xf numFmtId="0" fontId="10" fillId="4" borderId="13" xfId="0" applyFont="1" applyFill="1" applyBorder="1" applyAlignment="1">
      <alignment horizontal="center" vertical="center" textRotation="90" wrapText="1"/>
    </xf>
    <xf numFmtId="0" fontId="10" fillId="4" borderId="1" xfId="0" applyFont="1" applyFill="1" applyBorder="1" applyAlignment="1">
      <alignment horizontal="center" vertical="center" textRotation="90" wrapText="1"/>
    </xf>
    <xf numFmtId="0" fontId="11" fillId="14" borderId="7" xfId="0" applyFont="1" applyFill="1" applyBorder="1" applyAlignment="1">
      <alignment horizontal="center" vertical="center" textRotation="90"/>
    </xf>
    <xf numFmtId="0" fontId="11" fillId="14" borderId="1" xfId="0" applyFont="1" applyFill="1" applyBorder="1" applyAlignment="1">
      <alignment horizontal="center" vertical="center" textRotation="90"/>
    </xf>
    <xf numFmtId="0" fontId="10" fillId="3" borderId="1" xfId="0" applyFont="1" applyFill="1" applyBorder="1" applyAlignment="1">
      <alignment horizontal="center" vertical="center" textRotation="90" wrapText="1"/>
    </xf>
    <xf numFmtId="0" fontId="10" fillId="3" borderId="6" xfId="0" applyFont="1" applyFill="1" applyBorder="1" applyAlignment="1">
      <alignment horizontal="center" vertical="center" textRotation="90" wrapText="1"/>
    </xf>
    <xf numFmtId="0" fontId="10" fillId="2" borderId="7" xfId="0" applyFont="1" applyFill="1" applyBorder="1" applyAlignment="1">
      <alignment horizontal="center" vertical="center" textRotation="90" wrapText="1"/>
    </xf>
    <xf numFmtId="0" fontId="10" fillId="2" borderId="1" xfId="0" applyFont="1" applyFill="1" applyBorder="1" applyAlignment="1">
      <alignment horizontal="center" vertical="center" textRotation="90" wrapText="1"/>
    </xf>
    <xf numFmtId="0" fontId="10" fillId="2" borderId="6" xfId="0" applyFont="1" applyFill="1" applyBorder="1" applyAlignment="1">
      <alignment horizontal="center" vertical="center" textRotation="90" wrapText="1"/>
    </xf>
    <xf numFmtId="0" fontId="11" fillId="26" borderId="7" xfId="0" applyFont="1" applyFill="1" applyBorder="1" applyAlignment="1">
      <alignment horizontal="center" vertical="center" textRotation="90"/>
    </xf>
    <xf numFmtId="0" fontId="11" fillId="26" borderId="1" xfId="0" applyFont="1" applyFill="1" applyBorder="1" applyAlignment="1">
      <alignment horizontal="center" vertical="center" textRotation="90"/>
    </xf>
    <xf numFmtId="0" fontId="11" fillId="26" borderId="6" xfId="0" applyFont="1" applyFill="1" applyBorder="1" applyAlignment="1">
      <alignment horizontal="center" vertical="center" textRotation="90"/>
    </xf>
    <xf numFmtId="0" fontId="31" fillId="4" borderId="7" xfId="0" applyFont="1" applyFill="1" applyBorder="1" applyAlignment="1">
      <alignment horizontal="center" vertical="center" textRotation="90"/>
    </xf>
    <xf numFmtId="0" fontId="31" fillId="4" borderId="1" xfId="0" applyFont="1" applyFill="1" applyBorder="1" applyAlignment="1">
      <alignment horizontal="center" vertical="center" textRotation="90"/>
    </xf>
    <xf numFmtId="0" fontId="31" fillId="4" borderId="6" xfId="0" applyFont="1" applyFill="1" applyBorder="1" applyAlignment="1">
      <alignment horizontal="center" vertical="center" textRotation="90"/>
    </xf>
    <xf numFmtId="0" fontId="10" fillId="2" borderId="7" xfId="0" applyFont="1" applyFill="1" applyBorder="1" applyAlignment="1">
      <alignment horizontal="center" vertical="center" textRotation="90"/>
    </xf>
    <xf numFmtId="0" fontId="10" fillId="2" borderId="1" xfId="0" applyFont="1" applyFill="1" applyBorder="1" applyAlignment="1">
      <alignment horizontal="center" vertical="center" textRotation="90"/>
    </xf>
    <xf numFmtId="0" fontId="10" fillId="2" borderId="6" xfId="0" applyFont="1" applyFill="1" applyBorder="1" applyAlignment="1">
      <alignment horizontal="center" vertical="center" textRotation="90"/>
    </xf>
    <xf numFmtId="0" fontId="59" fillId="24" borderId="4" xfId="0" applyFont="1" applyFill="1" applyBorder="1" applyAlignment="1">
      <alignment horizontal="left"/>
    </xf>
    <xf numFmtId="0" fontId="59" fillId="24" borderId="17" xfId="0" applyFont="1" applyFill="1" applyBorder="1" applyAlignment="1">
      <alignment horizontal="left"/>
    </xf>
    <xf numFmtId="0" fontId="59" fillId="24" borderId="5" xfId="0" applyFont="1" applyFill="1" applyBorder="1" applyAlignment="1">
      <alignment horizontal="left"/>
    </xf>
    <xf numFmtId="0" fontId="9" fillId="12" borderId="42" xfId="0" applyFont="1" applyFill="1" applyBorder="1" applyAlignment="1">
      <alignment horizontal="left" vertical="top" wrapText="1"/>
    </xf>
    <xf numFmtId="0" fontId="9" fillId="12" borderId="14" xfId="0" applyFont="1" applyFill="1" applyBorder="1" applyAlignment="1">
      <alignment horizontal="left" vertical="top" wrapText="1"/>
    </xf>
    <xf numFmtId="0" fontId="9" fillId="12" borderId="10" xfId="0" applyFont="1" applyFill="1" applyBorder="1" applyAlignment="1">
      <alignment horizontal="center" vertical="top"/>
    </xf>
    <xf numFmtId="0" fontId="9" fillId="12" borderId="11" xfId="0" applyFont="1" applyFill="1" applyBorder="1" applyAlignment="1">
      <alignment horizontal="center" vertical="top"/>
    </xf>
    <xf numFmtId="0" fontId="9" fillId="12" borderId="55" xfId="0" applyFont="1" applyFill="1" applyBorder="1" applyAlignment="1">
      <alignment horizontal="center" vertical="top" wrapText="1"/>
    </xf>
    <xf numFmtId="0" fontId="9" fillId="12" borderId="56" xfId="0" applyFont="1" applyFill="1" applyBorder="1" applyAlignment="1">
      <alignment horizontal="center" vertical="top" wrapText="1"/>
    </xf>
    <xf numFmtId="0" fontId="9" fillId="12" borderId="12" xfId="0" applyFont="1" applyFill="1" applyBorder="1" applyAlignment="1">
      <alignment horizontal="center" vertical="top"/>
    </xf>
    <xf numFmtId="0" fontId="9" fillId="12" borderId="34" xfId="0" applyFont="1" applyFill="1" applyBorder="1" applyAlignment="1">
      <alignment horizontal="center" vertical="top" wrapText="1"/>
    </xf>
    <xf numFmtId="0" fontId="9" fillId="12" borderId="35" xfId="0" applyFont="1" applyFill="1" applyBorder="1" applyAlignment="1">
      <alignment horizontal="center" vertical="top" wrapText="1"/>
    </xf>
    <xf numFmtId="0" fontId="9" fillId="12" borderId="33" xfId="0" applyFont="1" applyFill="1" applyBorder="1" applyAlignment="1">
      <alignment horizontal="center" vertical="top" wrapText="1"/>
    </xf>
    <xf numFmtId="0" fontId="9" fillId="12" borderId="41" xfId="0" applyFont="1" applyFill="1" applyBorder="1" applyAlignment="1">
      <alignment horizontal="center" vertical="top" wrapText="1"/>
    </xf>
    <xf numFmtId="0" fontId="9" fillId="12" borderId="32" xfId="0" applyFont="1" applyFill="1" applyBorder="1" applyAlignment="1">
      <alignment horizontal="left" vertical="top" wrapText="1"/>
    </xf>
    <xf numFmtId="0" fontId="9" fillId="12" borderId="2" xfId="0" applyFont="1" applyFill="1" applyBorder="1" applyAlignment="1">
      <alignment horizontal="left" vertical="top" wrapText="1"/>
    </xf>
    <xf numFmtId="0" fontId="9" fillId="12" borderId="57" xfId="0" applyFont="1" applyFill="1" applyBorder="1" applyAlignment="1">
      <alignment horizontal="left" vertical="top" wrapText="1"/>
    </xf>
    <xf numFmtId="0" fontId="9" fillId="12" borderId="40" xfId="0" applyFont="1" applyFill="1" applyBorder="1" applyAlignment="1">
      <alignment horizontal="left" vertical="top" wrapText="1"/>
    </xf>
    <xf numFmtId="0" fontId="12" fillId="12" borderId="4" xfId="0" applyFont="1" applyFill="1" applyBorder="1" applyAlignment="1">
      <alignment horizontal="center"/>
    </xf>
    <xf numFmtId="0" fontId="12" fillId="12" borderId="5" xfId="0" applyFont="1" applyFill="1" applyBorder="1" applyAlignment="1">
      <alignment horizontal="center"/>
    </xf>
    <xf numFmtId="0" fontId="12" fillId="12" borderId="10" xfId="0" applyFont="1" applyFill="1" applyBorder="1" applyAlignment="1">
      <alignment horizontal="left" wrapText="1"/>
    </xf>
    <xf numFmtId="0" fontId="12" fillId="12" borderId="14" xfId="0" applyFont="1" applyFill="1" applyBorder="1" applyAlignment="1">
      <alignment horizontal="left" wrapText="1"/>
    </xf>
    <xf numFmtId="0" fontId="12" fillId="12" borderId="7" xfId="0" applyFont="1" applyFill="1" applyBorder="1" applyAlignment="1">
      <alignment horizontal="left" wrapText="1"/>
    </xf>
    <xf numFmtId="0" fontId="12" fillId="12" borderId="6" xfId="0" applyFont="1" applyFill="1" applyBorder="1" applyAlignment="1">
      <alignment horizontal="left" wrapText="1"/>
    </xf>
    <xf numFmtId="0" fontId="27" fillId="22" borderId="7" xfId="0" applyFont="1" applyFill="1" applyBorder="1" applyAlignment="1">
      <alignment horizontal="center" vertical="top" wrapText="1"/>
    </xf>
    <xf numFmtId="0" fontId="27" fillId="22" borderId="1" xfId="0" applyFont="1" applyFill="1" applyBorder="1" applyAlignment="1">
      <alignment horizontal="center" vertical="top" wrapText="1"/>
    </xf>
    <xf numFmtId="0" fontId="27" fillId="22" borderId="6" xfId="0" applyFont="1" applyFill="1" applyBorder="1" applyAlignment="1">
      <alignment horizontal="center" vertical="top" wrapText="1"/>
    </xf>
    <xf numFmtId="0" fontId="27" fillId="22" borderId="3" xfId="0" applyFont="1" applyFill="1" applyBorder="1" applyAlignment="1">
      <alignment horizontal="center" vertical="top" wrapText="1"/>
    </xf>
    <xf numFmtId="0" fontId="26" fillId="0" borderId="3" xfId="0" applyFont="1" applyBorder="1" applyAlignment="1">
      <alignment horizontal="center" vertical="center" wrapText="1"/>
    </xf>
    <xf numFmtId="3" fontId="26" fillId="0" borderId="4" xfId="0" applyNumberFormat="1" applyFont="1" applyBorder="1" applyAlignment="1">
      <alignment horizontal="center"/>
    </xf>
    <xf numFmtId="3" fontId="26" fillId="0" borderId="17" xfId="0" applyNumberFormat="1" applyFont="1" applyBorder="1" applyAlignment="1">
      <alignment horizontal="center"/>
    </xf>
    <xf numFmtId="3" fontId="26" fillId="0" borderId="5" xfId="0" applyNumberFormat="1" applyFont="1" applyBorder="1" applyAlignment="1">
      <alignment horizontal="center"/>
    </xf>
    <xf numFmtId="3" fontId="26" fillId="0" borderId="3" xfId="0" applyNumberFormat="1" applyFont="1" applyBorder="1" applyAlignment="1">
      <alignment horizontal="center"/>
    </xf>
    <xf numFmtId="3" fontId="26" fillId="0" borderId="3" xfId="14" applyNumberFormat="1" applyFont="1" applyBorder="1" applyAlignment="1">
      <alignment horizontal="center" vertical="top" wrapText="1"/>
    </xf>
    <xf numFmtId="168" fontId="26" fillId="0" borderId="14" xfId="14" applyNumberFormat="1" applyFont="1" applyBorder="1" applyAlignment="1">
      <alignment horizontal="center" vertical="top"/>
    </xf>
    <xf numFmtId="168" fontId="26" fillId="0" borderId="8" xfId="14" applyNumberFormat="1" applyFont="1" applyBorder="1" applyAlignment="1">
      <alignment horizontal="center" vertical="top"/>
    </xf>
    <xf numFmtId="0" fontId="74" fillId="2" borderId="4" xfId="14" applyFont="1" applyFill="1" applyBorder="1" applyAlignment="1">
      <alignment horizontal="center"/>
    </xf>
    <xf numFmtId="0" fontId="74" fillId="2" borderId="17" xfId="14" applyFont="1" applyFill="1" applyBorder="1" applyAlignment="1">
      <alignment horizontal="center"/>
    </xf>
    <xf numFmtId="0" fontId="74" fillId="2" borderId="5" xfId="14" applyFont="1" applyFill="1" applyBorder="1" applyAlignment="1">
      <alignment horizontal="center"/>
    </xf>
    <xf numFmtId="168" fontId="26" fillId="0" borderId="6" xfId="14" applyNumberFormat="1" applyFont="1" applyBorder="1" applyAlignment="1">
      <alignment horizontal="center" vertical="top"/>
    </xf>
    <xf numFmtId="168" fontId="26" fillId="0" borderId="3" xfId="14" applyNumberFormat="1" applyFont="1" applyBorder="1" applyAlignment="1">
      <alignment horizontal="center" vertical="top"/>
    </xf>
    <xf numFmtId="168" fontId="26" fillId="0" borderId="9" xfId="14" applyNumberFormat="1" applyFont="1" applyBorder="1" applyAlignment="1">
      <alignment horizontal="center" vertical="top"/>
    </xf>
    <xf numFmtId="0" fontId="26" fillId="0" borderId="7" xfId="0" applyFont="1" applyBorder="1" applyAlignment="1">
      <alignment horizontal="left" vertical="top" wrapText="1"/>
    </xf>
    <xf numFmtId="0" fontId="26" fillId="0" borderId="1" xfId="0" applyFont="1" applyBorder="1" applyAlignment="1">
      <alignment horizontal="left" vertical="top" wrapText="1"/>
    </xf>
    <xf numFmtId="0" fontId="26" fillId="0" borderId="6" xfId="0" applyFont="1" applyBorder="1" applyAlignment="1">
      <alignment horizontal="left" vertical="top" wrapText="1"/>
    </xf>
    <xf numFmtId="0" fontId="76" fillId="0" borderId="7" xfId="14" applyFont="1" applyBorder="1" applyAlignment="1">
      <alignment horizontal="left" vertical="top" wrapText="1"/>
    </xf>
    <xf numFmtId="0" fontId="76" fillId="0" borderId="1" xfId="14" applyFont="1" applyBorder="1" applyAlignment="1">
      <alignment horizontal="left" vertical="top" wrapText="1"/>
    </xf>
    <xf numFmtId="0" fontId="76" fillId="0" borderId="6" xfId="14" applyFont="1" applyBorder="1" applyAlignment="1">
      <alignment horizontal="left" vertical="top" wrapText="1"/>
    </xf>
    <xf numFmtId="0" fontId="76" fillId="0" borderId="7" xfId="14" applyFont="1" applyBorder="1" applyAlignment="1">
      <alignment horizontal="center" vertical="top" wrapText="1"/>
    </xf>
    <xf numFmtId="0" fontId="76" fillId="0" borderId="1" xfId="14" applyFont="1" applyBorder="1" applyAlignment="1">
      <alignment horizontal="center" vertical="top" wrapText="1"/>
    </xf>
    <xf numFmtId="0" fontId="76" fillId="0" borderId="6" xfId="14" applyFont="1" applyBorder="1" applyAlignment="1">
      <alignment horizontal="center" vertical="top" wrapText="1"/>
    </xf>
    <xf numFmtId="0" fontId="74" fillId="2" borderId="4" xfId="0" applyFont="1" applyFill="1" applyBorder="1" applyAlignment="1">
      <alignment horizontal="center"/>
    </xf>
    <xf numFmtId="0" fontId="74" fillId="2" borderId="17" xfId="0" applyFont="1" applyFill="1" applyBorder="1" applyAlignment="1">
      <alignment horizontal="center"/>
    </xf>
    <xf numFmtId="0" fontId="74" fillId="2" borderId="5" xfId="0" applyFont="1" applyFill="1" applyBorder="1" applyAlignment="1">
      <alignment horizontal="center"/>
    </xf>
    <xf numFmtId="168" fontId="26" fillId="0" borderId="7" xfId="14" applyNumberFormat="1" applyFont="1" applyBorder="1" applyAlignment="1">
      <alignment horizontal="center" vertical="top"/>
    </xf>
    <xf numFmtId="168" fontId="26" fillId="0" borderId="7" xfId="14" applyNumberFormat="1" applyFont="1" applyBorder="1" applyAlignment="1">
      <alignment horizontal="center" vertical="top" wrapText="1"/>
    </xf>
    <xf numFmtId="168" fontId="26" fillId="0" borderId="6" xfId="14" applyNumberFormat="1" applyFont="1" applyBorder="1" applyAlignment="1">
      <alignment horizontal="center" vertical="top" wrapText="1"/>
    </xf>
    <xf numFmtId="168" fontId="26" fillId="0" borderId="1" xfId="14" applyNumberFormat="1" applyFont="1" applyBorder="1" applyAlignment="1">
      <alignment horizontal="center" vertical="top" wrapText="1"/>
    </xf>
    <xf numFmtId="3" fontId="26" fillId="0" borderId="3" xfId="0" applyNumberFormat="1" applyFont="1" applyBorder="1" applyAlignment="1">
      <alignment horizontal="center" vertical="center" wrapText="1"/>
    </xf>
    <xf numFmtId="168" fontId="26" fillId="0" borderId="1" xfId="14" applyNumberFormat="1" applyFont="1" applyBorder="1" applyAlignment="1">
      <alignment horizontal="center" vertical="top" wrapText="1" shrinkToFit="1"/>
    </xf>
    <xf numFmtId="168" fontId="26" fillId="0" borderId="6" xfId="14" applyNumberFormat="1" applyFont="1" applyBorder="1" applyAlignment="1">
      <alignment horizontal="center" vertical="top" wrapText="1" shrinkToFit="1"/>
    </xf>
    <xf numFmtId="0" fontId="104" fillId="2" borderId="4" xfId="16" applyFont="1" applyFill="1" applyBorder="1" applyAlignment="1">
      <alignment horizontal="center"/>
    </xf>
    <xf numFmtId="0" fontId="104" fillId="2" borderId="17" xfId="16" applyFont="1" applyFill="1" applyBorder="1" applyAlignment="1">
      <alignment horizontal="center"/>
    </xf>
    <xf numFmtId="0" fontId="104" fillId="2" borderId="5" xfId="16" applyFont="1" applyFill="1" applyBorder="1" applyAlignment="1">
      <alignment horizontal="center"/>
    </xf>
    <xf numFmtId="3" fontId="26" fillId="0" borderId="7" xfId="29" applyNumberFormat="1" applyFont="1" applyBorder="1" applyAlignment="1">
      <alignment horizontal="center" vertical="top" wrapText="1"/>
    </xf>
    <xf numFmtId="3" fontId="26" fillId="0" borderId="1" xfId="29" applyNumberFormat="1" applyFont="1" applyBorder="1" applyAlignment="1">
      <alignment horizontal="center" vertical="top" wrapText="1"/>
    </xf>
    <xf numFmtId="3" fontId="26" fillId="0" borderId="6" xfId="29" applyNumberFormat="1" applyFont="1" applyBorder="1" applyAlignment="1">
      <alignment horizontal="center" vertical="top" wrapText="1"/>
    </xf>
    <xf numFmtId="0" fontId="76" fillId="0" borderId="7" xfId="0" applyFont="1" applyBorder="1" applyAlignment="1">
      <alignment horizontal="center" vertical="top"/>
    </xf>
    <xf numFmtId="0" fontId="76" fillId="0" borderId="1" xfId="0" applyFont="1" applyBorder="1" applyAlignment="1">
      <alignment horizontal="center" vertical="top"/>
    </xf>
    <xf numFmtId="0" fontId="76" fillId="0" borderId="6" xfId="0" applyFont="1" applyBorder="1" applyAlignment="1">
      <alignment horizontal="center" vertical="top"/>
    </xf>
    <xf numFmtId="0" fontId="8" fillId="0" borderId="0" xfId="0" applyFont="1" applyAlignment="1">
      <alignment horizontal="center"/>
    </xf>
    <xf numFmtId="0" fontId="79" fillId="0" borderId="0" xfId="10" applyFont="1" applyAlignment="1">
      <alignment horizontal="center"/>
    </xf>
    <xf numFmtId="0" fontId="79" fillId="0" borderId="4" xfId="10" applyFont="1" applyBorder="1" applyAlignment="1">
      <alignment horizontal="center"/>
    </xf>
    <xf numFmtId="0" fontId="79" fillId="0" borderId="17" xfId="10" applyFont="1" applyBorder="1" applyAlignment="1">
      <alignment horizontal="center"/>
    </xf>
    <xf numFmtId="0" fontId="79" fillId="0" borderId="5" xfId="10" applyFont="1" applyBorder="1" applyAlignment="1">
      <alignment horizontal="center"/>
    </xf>
    <xf numFmtId="16" fontId="79" fillId="0" borderId="4" xfId="10" applyNumberFormat="1" applyFont="1" applyBorder="1" applyAlignment="1">
      <alignment horizontal="center"/>
    </xf>
    <xf numFmtId="16" fontId="79" fillId="0" borderId="5" xfId="10" applyNumberFormat="1" applyFont="1" applyBorder="1" applyAlignment="1">
      <alignment horizontal="center"/>
    </xf>
    <xf numFmtId="0" fontId="24" fillId="0" borderId="10" xfId="10" applyFont="1" applyBorder="1" applyAlignment="1">
      <alignment horizontal="center"/>
    </xf>
    <xf numFmtId="0" fontId="24" fillId="0" borderId="12" xfId="10" applyFont="1" applyBorder="1" applyAlignment="1">
      <alignment horizontal="center"/>
    </xf>
    <xf numFmtId="0" fontId="24" fillId="0" borderId="0" xfId="10" applyFont="1" applyAlignment="1">
      <alignment horizontal="center"/>
    </xf>
    <xf numFmtId="0" fontId="24" fillId="0" borderId="9" xfId="10" applyFont="1" applyBorder="1" applyAlignment="1">
      <alignment horizontal="center"/>
    </xf>
    <xf numFmtId="0" fontId="24" fillId="0" borderId="13" xfId="10" applyFont="1" applyBorder="1" applyAlignment="1">
      <alignment horizontal="center"/>
    </xf>
    <xf numFmtId="0" fontId="87" fillId="0" borderId="0" xfId="18" applyFont="1" applyAlignment="1">
      <alignment horizontal="center" vertical="center"/>
    </xf>
    <xf numFmtId="0" fontId="87" fillId="0" borderId="0" xfId="18" applyFont="1" applyAlignment="1">
      <alignment horizontal="center"/>
    </xf>
    <xf numFmtId="44" fontId="87" fillId="0" borderId="2" xfId="2" applyFont="1" applyFill="1" applyBorder="1" applyAlignment="1">
      <alignment horizontal="center"/>
    </xf>
    <xf numFmtId="17" fontId="87" fillId="0" borderId="2" xfId="18" applyNumberFormat="1" applyFont="1" applyBorder="1" applyAlignment="1">
      <alignment horizontal="center"/>
    </xf>
    <xf numFmtId="0" fontId="87" fillId="0" borderId="2" xfId="18" applyFont="1" applyBorder="1" applyAlignment="1">
      <alignment horizontal="center"/>
    </xf>
    <xf numFmtId="0" fontId="87" fillId="0" borderId="0" xfId="18" quotePrefix="1" applyFont="1" applyAlignment="1">
      <alignment horizontal="center" vertical="center"/>
    </xf>
    <xf numFmtId="0" fontId="87" fillId="0" borderId="0" xfId="18" quotePrefix="1" applyFont="1" applyAlignment="1">
      <alignment horizontal="center"/>
    </xf>
    <xf numFmtId="0" fontId="87" fillId="0" borderId="0" xfId="26" applyFont="1" applyAlignment="1">
      <alignment horizontal="center"/>
    </xf>
    <xf numFmtId="0" fontId="9" fillId="12" borderId="0" xfId="0" applyFont="1" applyFill="1" applyAlignment="1">
      <alignment horizontal="left" vertical="top" wrapText="1"/>
    </xf>
    <xf numFmtId="0" fontId="6" fillId="0" borderId="3" xfId="0" applyFont="1" applyBorder="1" applyAlignment="1">
      <alignment horizontal="center"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6" fillId="0" borderId="4" xfId="0" applyFont="1" applyBorder="1" applyAlignment="1">
      <alignment horizontal="center" vertical="top" wrapText="1"/>
    </xf>
    <xf numFmtId="0" fontId="6" fillId="0" borderId="17" xfId="0" applyFont="1" applyBorder="1" applyAlignment="1">
      <alignment horizontal="center" vertical="top" wrapText="1"/>
    </xf>
    <xf numFmtId="0" fontId="6" fillId="0" borderId="5" xfId="0" applyFont="1" applyBorder="1" applyAlignment="1">
      <alignment horizontal="center" vertical="top" wrapText="1"/>
    </xf>
    <xf numFmtId="0" fontId="0" fillId="0" borderId="0" xfId="0" applyAlignment="1">
      <alignment horizontal="left" wrapText="1"/>
    </xf>
    <xf numFmtId="0" fontId="12" fillId="12" borderId="11" xfId="0" applyFont="1" applyFill="1" applyBorder="1" applyAlignment="1">
      <alignment horizontal="center"/>
    </xf>
    <xf numFmtId="0" fontId="12" fillId="12" borderId="12" xfId="0" applyFont="1" applyFill="1" applyBorder="1" applyAlignment="1">
      <alignment horizontal="center"/>
    </xf>
    <xf numFmtId="0" fontId="12" fillId="12" borderId="10" xfId="0" applyFont="1" applyFill="1" applyBorder="1" applyAlignment="1">
      <alignment horizontal="center" vertical="top" wrapText="1"/>
    </xf>
    <xf numFmtId="0" fontId="61" fillId="16" borderId="2" xfId="0" applyFont="1" applyFill="1" applyBorder="1" applyAlignment="1">
      <alignment horizontal="center"/>
    </xf>
    <xf numFmtId="0" fontId="12" fillId="12" borderId="7" xfId="0" applyFont="1" applyFill="1" applyBorder="1" applyAlignment="1">
      <alignment horizontal="center" vertical="top" wrapText="1"/>
    </xf>
    <xf numFmtId="0" fontId="12" fillId="12" borderId="10" xfId="0" applyFont="1" applyFill="1" applyBorder="1" applyAlignment="1">
      <alignment horizontal="center"/>
    </xf>
    <xf numFmtId="0" fontId="61" fillId="13" borderId="2" xfId="0" applyFont="1" applyFill="1" applyBorder="1" applyAlignment="1">
      <alignment horizontal="center"/>
    </xf>
    <xf numFmtId="0" fontId="6" fillId="0" borderId="0" xfId="0" applyFont="1" applyAlignment="1">
      <alignment horizontal="left" wrapText="1"/>
    </xf>
    <xf numFmtId="0" fontId="59" fillId="12" borderId="4" xfId="0" applyFont="1" applyFill="1" applyBorder="1" applyAlignment="1">
      <alignment horizontal="center"/>
    </xf>
    <xf numFmtId="0" fontId="59" fillId="12" borderId="17" xfId="0" applyFont="1" applyFill="1" applyBorder="1" applyAlignment="1">
      <alignment horizontal="center"/>
    </xf>
    <xf numFmtId="0" fontId="59" fillId="12" borderId="5" xfId="0" applyFont="1" applyFill="1" applyBorder="1" applyAlignment="1">
      <alignment horizontal="center"/>
    </xf>
    <xf numFmtId="0" fontId="65" fillId="12" borderId="4" xfId="5" applyFont="1" applyFill="1" applyBorder="1" applyAlignment="1">
      <alignment horizontal="center"/>
    </xf>
    <xf numFmtId="9" fontId="65" fillId="12" borderId="4" xfId="5" applyNumberFormat="1" applyFont="1" applyFill="1" applyBorder="1" applyAlignment="1">
      <alignment horizontal="center"/>
    </xf>
    <xf numFmtId="9" fontId="65" fillId="12" borderId="17" xfId="5" applyNumberFormat="1" applyFont="1" applyFill="1" applyBorder="1" applyAlignment="1">
      <alignment horizontal="center"/>
    </xf>
    <xf numFmtId="9" fontId="65" fillId="12" borderId="5" xfId="5" applyNumberFormat="1" applyFont="1" applyFill="1" applyBorder="1" applyAlignment="1">
      <alignment horizontal="center"/>
    </xf>
    <xf numFmtId="0" fontId="9" fillId="12" borderId="3" xfId="5" applyFont="1" applyFill="1" applyBorder="1" applyAlignment="1" applyProtection="1">
      <alignment horizontal="left" vertical="top" wrapText="1"/>
      <protection locked="0"/>
    </xf>
    <xf numFmtId="0" fontId="9" fillId="12" borderId="7" xfId="5" applyFont="1" applyFill="1" applyBorder="1" applyAlignment="1" applyProtection="1">
      <alignment horizontal="left" vertical="top" wrapText="1"/>
      <protection locked="0"/>
    </xf>
    <xf numFmtId="0" fontId="63" fillId="12" borderId="10" xfId="5" applyFont="1" applyFill="1" applyBorder="1" applyAlignment="1" applyProtection="1">
      <alignment horizontal="left" vertical="top" wrapText="1"/>
      <protection locked="0"/>
    </xf>
    <xf numFmtId="0" fontId="63" fillId="12" borderId="13" xfId="5" applyFont="1" applyFill="1" applyBorder="1" applyAlignment="1" applyProtection="1">
      <alignment horizontal="left" vertical="top" wrapText="1"/>
      <protection locked="0"/>
    </xf>
    <xf numFmtId="0" fontId="9" fillId="12" borderId="4" xfId="8" applyNumberFormat="1" applyFont="1" applyFill="1" applyBorder="1" applyAlignment="1" applyProtection="1">
      <alignment horizontal="center" vertical="top" wrapText="1"/>
      <protection locked="0"/>
    </xf>
    <xf numFmtId="0" fontId="9" fillId="12" borderId="17" xfId="8" applyNumberFormat="1" applyFont="1" applyFill="1" applyBorder="1" applyAlignment="1" applyProtection="1">
      <alignment horizontal="center" vertical="top" wrapText="1"/>
      <protection locked="0"/>
    </xf>
    <xf numFmtId="0" fontId="9" fillId="12" borderId="5" xfId="8" applyNumberFormat="1" applyFont="1" applyFill="1" applyBorder="1" applyAlignment="1" applyProtection="1">
      <alignment horizontal="center" vertical="top" wrapText="1"/>
      <protection locked="0"/>
    </xf>
    <xf numFmtId="0" fontId="65" fillId="12" borderId="4" xfId="5" applyFont="1" applyFill="1" applyBorder="1" applyAlignment="1">
      <alignment horizontal="center" vertical="top"/>
    </xf>
    <xf numFmtId="0" fontId="65" fillId="12" borderId="17" xfId="5" applyFont="1" applyFill="1" applyBorder="1" applyAlignment="1">
      <alignment horizontal="center" vertical="top"/>
    </xf>
    <xf numFmtId="0" fontId="65" fillId="12" borderId="5" xfId="5" applyFont="1" applyFill="1" applyBorder="1" applyAlignment="1">
      <alignment horizontal="center" vertical="top"/>
    </xf>
    <xf numFmtId="0" fontId="30" fillId="12" borderId="14" xfId="5" applyFont="1" applyFill="1" applyBorder="1" applyAlignment="1">
      <alignment horizontal="center" vertical="top"/>
    </xf>
    <xf numFmtId="0" fontId="30" fillId="12" borderId="8" xfId="5" applyFont="1" applyFill="1" applyBorder="1" applyAlignment="1">
      <alignment horizontal="center" vertical="top"/>
    </xf>
    <xf numFmtId="0" fontId="65" fillId="12" borderId="17" xfId="5" applyFont="1" applyFill="1" applyBorder="1" applyAlignment="1">
      <alignment horizontal="center"/>
    </xf>
    <xf numFmtId="0" fontId="65" fillId="12" borderId="5" xfId="5" applyFont="1" applyFill="1" applyBorder="1" applyAlignment="1">
      <alignment horizontal="center"/>
    </xf>
    <xf numFmtId="0" fontId="20" fillId="0" borderId="0" xfId="5" applyAlignment="1">
      <alignment horizontal="left" vertical="top" wrapText="1"/>
    </xf>
    <xf numFmtId="0" fontId="19" fillId="0" borderId="0" xfId="5" applyFont="1" applyAlignment="1">
      <alignment horizontal="left" vertical="top" wrapText="1"/>
    </xf>
    <xf numFmtId="0" fontId="27" fillId="12" borderId="10" xfId="5" applyFont="1" applyFill="1" applyBorder="1" applyAlignment="1">
      <alignment horizontal="center" vertical="center" wrapText="1"/>
    </xf>
    <xf numFmtId="0" fontId="62" fillId="12" borderId="12" xfId="5" applyFont="1" applyFill="1" applyBorder="1" applyAlignment="1">
      <alignment horizontal="center" vertical="center" wrapText="1"/>
    </xf>
    <xf numFmtId="0" fontId="9" fillId="12" borderId="4" xfId="0" applyFont="1" applyFill="1" applyBorder="1" applyAlignment="1">
      <alignment horizontal="center"/>
    </xf>
    <xf numFmtId="0" fontId="9" fillId="12" borderId="17" xfId="0" applyFont="1" applyFill="1" applyBorder="1" applyAlignment="1">
      <alignment horizontal="center"/>
    </xf>
    <xf numFmtId="0" fontId="9" fillId="12" borderId="5" xfId="0" applyFont="1" applyFill="1" applyBorder="1" applyAlignment="1">
      <alignment horizontal="center"/>
    </xf>
    <xf numFmtId="9" fontId="0" fillId="0" borderId="7" xfId="0" applyNumberFormat="1" applyBorder="1" applyAlignment="1">
      <alignment horizontal="right"/>
    </xf>
    <xf numFmtId="9" fontId="0" fillId="0" borderId="1" xfId="0" applyNumberFormat="1" applyBorder="1" applyAlignment="1">
      <alignment horizontal="right"/>
    </xf>
    <xf numFmtId="9" fontId="0" fillId="0" borderId="6" xfId="0" applyNumberFormat="1" applyBorder="1" applyAlignment="1">
      <alignment horizontal="right"/>
    </xf>
    <xf numFmtId="0" fontId="0" fillId="0" borderId="0" xfId="0" applyAlignment="1">
      <alignment horizontal="left" vertical="top" wrapText="1"/>
    </xf>
    <xf numFmtId="0" fontId="0" fillId="0" borderId="0" xfId="0" quotePrefix="1" applyAlignment="1">
      <alignment horizontal="left" wrapText="1"/>
    </xf>
    <xf numFmtId="0" fontId="6" fillId="0" borderId="0" xfId="0" quotePrefix="1" applyFont="1" applyAlignment="1">
      <alignment horizontal="left" wrapText="1"/>
    </xf>
    <xf numFmtId="167" fontId="6" fillId="0" borderId="14" xfId="8" applyNumberFormat="1" applyFont="1" applyBorder="1" applyAlignment="1">
      <alignment horizontal="center" vertical="center"/>
    </xf>
    <xf numFmtId="167" fontId="19" fillId="9" borderId="13" xfId="1" applyNumberFormat="1" applyFont="1" applyFill="1" applyBorder="1" applyAlignment="1">
      <alignment horizontal="center"/>
    </xf>
    <xf numFmtId="166" fontId="6" fillId="9" borderId="10" xfId="8" applyNumberFormat="1" applyFont="1" applyFill="1" applyBorder="1" applyAlignment="1">
      <alignment horizontal="right" vertical="center"/>
    </xf>
    <xf numFmtId="167" fontId="6" fillId="9" borderId="12" xfId="8" applyNumberFormat="1" applyFont="1" applyFill="1" applyBorder="1" applyAlignment="1">
      <alignment horizontal="right" vertical="center"/>
    </xf>
    <xf numFmtId="166" fontId="6" fillId="9" borderId="0" xfId="8" applyNumberFormat="1" applyFont="1" applyFill="1" applyBorder="1" applyAlignment="1">
      <alignment horizontal="right" vertical="center"/>
    </xf>
    <xf numFmtId="167" fontId="6" fillId="9" borderId="9" xfId="8" applyNumberFormat="1" applyFont="1" applyFill="1" applyBorder="1" applyAlignment="1">
      <alignment horizontal="right" vertical="center"/>
    </xf>
    <xf numFmtId="167" fontId="19" fillId="9" borderId="14" xfId="1" applyNumberFormat="1" applyFont="1" applyFill="1" applyBorder="1" applyAlignment="1">
      <alignment horizontal="center"/>
    </xf>
    <xf numFmtId="166" fontId="6" fillId="9" borderId="14" xfId="8" applyNumberFormat="1" applyFont="1" applyFill="1" applyBorder="1" applyAlignment="1">
      <alignment horizontal="right" vertical="center"/>
    </xf>
    <xf numFmtId="167" fontId="6" fillId="9" borderId="8" xfId="8" applyNumberFormat="1" applyFont="1" applyFill="1" applyBorder="1" applyAlignment="1">
      <alignment horizontal="right" vertical="center"/>
    </xf>
    <xf numFmtId="166" fontId="6" fillId="9" borderId="13" xfId="8" applyNumberFormat="1" applyFont="1" applyFill="1" applyBorder="1" applyAlignment="1">
      <alignment horizontal="right" vertical="center"/>
    </xf>
    <xf numFmtId="0" fontId="6" fillId="28" borderId="7" xfId="0" applyFont="1" applyFill="1" applyBorder="1" applyAlignment="1">
      <alignment horizontal="left"/>
    </xf>
    <xf numFmtId="0" fontId="6" fillId="28" borderId="1" xfId="0" applyFont="1" applyFill="1" applyBorder="1" applyAlignment="1">
      <alignment horizontal="left"/>
    </xf>
    <xf numFmtId="10" fontId="0" fillId="0" borderId="9" xfId="3" applyNumberFormat="1" applyFont="1" applyFill="1" applyBorder="1"/>
    <xf numFmtId="0" fontId="70" fillId="0" borderId="0" xfId="0" applyFont="1" applyAlignment="1">
      <alignment horizontal="left" vertical="top" wrapText="1"/>
    </xf>
    <xf numFmtId="166" fontId="6" fillId="9" borderId="2" xfId="8" applyNumberFormat="1" applyFont="1" applyFill="1" applyBorder="1" applyAlignment="1">
      <alignment horizontal="right" vertical="center"/>
    </xf>
    <xf numFmtId="0" fontId="20" fillId="0" borderId="0" xfId="5" applyBorder="1"/>
    <xf numFmtId="0" fontId="20" fillId="0" borderId="2" xfId="5" applyBorder="1"/>
    <xf numFmtId="0" fontId="12" fillId="12" borderId="4" xfId="5" applyFont="1" applyFill="1" applyBorder="1"/>
    <xf numFmtId="0" fontId="12" fillId="12" borderId="17" xfId="5" applyFont="1" applyFill="1" applyBorder="1"/>
    <xf numFmtId="0" fontId="12" fillId="12" borderId="3" xfId="5" applyFont="1" applyFill="1" applyBorder="1"/>
    <xf numFmtId="0" fontId="20" fillId="0" borderId="1" xfId="5" applyBorder="1"/>
    <xf numFmtId="0" fontId="20" fillId="0" borderId="6" xfId="5" applyBorder="1"/>
    <xf numFmtId="167" fontId="12" fillId="12" borderId="3" xfId="8" applyNumberFormat="1" applyFont="1" applyFill="1" applyBorder="1" applyAlignment="1"/>
    <xf numFmtId="167" fontId="0" fillId="0" borderId="1" xfId="8" applyNumberFormat="1" applyFont="1" applyBorder="1"/>
    <xf numFmtId="167" fontId="0" fillId="0" borderId="6" xfId="8" applyNumberFormat="1" applyFont="1" applyBorder="1"/>
  </cellXfs>
  <cellStyles count="30">
    <cellStyle name="Comma" xfId="1" builtinId="3"/>
    <cellStyle name="Comma 10" xfId="22" xr:uid="{1C943BF4-2128-4303-8D8E-C3434B8058B6}"/>
    <cellStyle name="Comma 2" xfId="8" xr:uid="{5FA07EE9-66DD-4B5E-BCF0-71C43C4C2C88}"/>
    <cellStyle name="Comma 2 2" xfId="29" xr:uid="{84C6050A-1EEA-4A76-BFC2-38981E5E914E}"/>
    <cellStyle name="Currency" xfId="2" builtinId="4"/>
    <cellStyle name="Currency 2" xfId="6" xr:uid="{62CA5495-55BC-4F0F-8826-3764753C4A7B}"/>
    <cellStyle name="Currency 2 2" xfId="25" xr:uid="{2C7FC389-4A0F-4677-9C0F-CDDEA15F85BE}"/>
    <cellStyle name="Hyperlink" xfId="4" builtinId="8"/>
    <cellStyle name="Hyperlink 2" xfId="12" xr:uid="{FE6840E3-5B75-40ED-99BF-CD0DAE3B40A9}"/>
    <cellStyle name="Normal" xfId="0" builtinId="0"/>
    <cellStyle name="Normal 10" xfId="13" xr:uid="{B32896F6-5426-4CCB-A3B8-6537B9CEBB75}"/>
    <cellStyle name="Normal 12 2" xfId="23" xr:uid="{FAAA0985-6240-4AED-AB67-72A2C76D784F}"/>
    <cellStyle name="Normal 15" xfId="7" xr:uid="{940E4CD4-F8DC-49FC-AA05-C2E68658D47D}"/>
    <cellStyle name="Normal 2" xfId="5" xr:uid="{61EEE254-6B06-46DF-ACA3-3B12A9C01909}"/>
    <cellStyle name="Normal 2 2 2" xfId="14" xr:uid="{19CB6C77-C024-427D-9338-2556F1C12EB2}"/>
    <cellStyle name="Normal 28" xfId="11" xr:uid="{08C768E7-32E9-4A64-B335-94E0D5C9BC9D}"/>
    <cellStyle name="Normal 3" xfId="10" xr:uid="{68CE6124-F86C-4AC8-B7E1-F5DFFE3544D8}"/>
    <cellStyle name="Normal 5" xfId="28" xr:uid="{9FAA8812-69C9-4FA1-9E3E-FFDD4A3FAF7A}"/>
    <cellStyle name="Normal 7 2" xfId="15" xr:uid="{7EFD7D61-B9B1-4B08-BBA0-AC87D53AD9FF}"/>
    <cellStyle name="Normal 8" xfId="16" xr:uid="{76063FB5-1398-4173-A731-241B9186EB74}"/>
    <cellStyle name="Normal_REGULAR R-1" xfId="18" xr:uid="{BBBCDFF2-B144-434F-9A69-064F79C4A9CB}"/>
    <cellStyle name="Normal_REGULAR R-1_NSTAR Electric - BECo Rate Design Model" xfId="21" xr:uid="{73F397E9-7947-49C5-A06C-4C7EA05A0C77}"/>
    <cellStyle name="Normal_REGULAR R-1_NSTAR Electric - Comm Rate Design Model" xfId="26" xr:uid="{D06B1381-1281-49C3-9EE4-3E7B1F3185B3}"/>
    <cellStyle name="Normal_Revenue Shift" xfId="19" xr:uid="{BD05A0CA-C1AF-45C3-B37B-748FD9A12E38}"/>
    <cellStyle name="Normal_T-0 SM GEN TOU_NSTAR Electric - BECo Rate Design Model" xfId="27" xr:uid="{3283857A-CB51-46A8-B5DF-7D5C025B9969}"/>
    <cellStyle name="Percent" xfId="3" builtinId="5"/>
    <cellStyle name="Percent 2" xfId="9" xr:uid="{38C3F2B7-9102-4846-AC6C-8F835D0F7A64}"/>
    <cellStyle name="Percent 2 2" xfId="24" xr:uid="{5E93BAB5-68BE-4F3B-868E-67FECF7423C3}"/>
    <cellStyle name="Percent 4 2" xfId="17" xr:uid="{8B82E0F4-43C4-4A31-A851-3FF905512A6C}"/>
    <cellStyle name="Percent 5 2" xfId="20" xr:uid="{055FCBA5-022C-407F-8373-77986B1D695C}"/>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B7DEE8"/>
      <color rgb="FFCDD9EF"/>
      <color rgb="FFCCFFFF"/>
      <color rgb="FFFF9999"/>
      <color rgb="FFCC33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1218453462548"/>
          <c:y val="5.0925925925925923E-2"/>
          <c:w val="0.57888131771990048"/>
          <c:h val="0.65913510811148601"/>
        </c:manualLayout>
      </c:layout>
      <c:barChart>
        <c:barDir val="col"/>
        <c:grouping val="stacked"/>
        <c:varyColors val="0"/>
        <c:ser>
          <c:idx val="1"/>
          <c:order val="0"/>
          <c:tx>
            <c:strRef>
              <c:f>Budget!$B$39</c:f>
              <c:strCache>
                <c:ptCount val="1"/>
                <c:pt idx="0">
                  <c:v>Solar incentives</c:v>
                </c:pt>
              </c:strCache>
            </c:strRef>
          </c:tx>
          <c:spPr>
            <a:solidFill>
              <a:schemeClr val="accent4"/>
            </a:solidFill>
            <a:ln>
              <a:solidFill>
                <a:schemeClr val="bg1"/>
              </a:solidFill>
            </a:ln>
            <a:effectLst/>
          </c:spPr>
          <c:invertIfNegative val="0"/>
          <c:cat>
            <c:strRef>
              <c:extLst>
                <c:ext xmlns:c15="http://schemas.microsoft.com/office/drawing/2012/chart" uri="{02D57815-91ED-43cb-92C2-25804820EDAC}">
                  <c15:fullRef>
                    <c15:sqref>Budget!$C$37:$F$37</c15:sqref>
                  </c15:fullRef>
                </c:ext>
              </c:extLst>
              <c:f>Budget!$D$37:$F$37</c:f>
              <c:strCache>
                <c:ptCount val="3"/>
                <c:pt idx="0">
                  <c:v>Residential</c:v>
                </c:pt>
                <c:pt idx="1">
                  <c:v>Income Eligible, 
Non-Deed Restricted</c:v>
                </c:pt>
                <c:pt idx="2">
                  <c:v>Income Eligible, 
Deed Restricted</c:v>
                </c:pt>
              </c:strCache>
            </c:strRef>
          </c:cat>
          <c:val>
            <c:numRef>
              <c:extLst>
                <c:ext xmlns:c15="http://schemas.microsoft.com/office/drawing/2012/chart" uri="{02D57815-91ED-43cb-92C2-25804820EDAC}">
                  <c15:fullRef>
                    <c15:sqref>Budget!$C$39:$F$39</c15:sqref>
                  </c15:fullRef>
                </c:ext>
              </c:extLst>
              <c:f>Budget!$D$39:$F$39</c:f>
              <c:numCache>
                <c:formatCode>_(* #,##0_);_(* \(#,##0\);_(* "-"??_);_(@_)</c:formatCode>
                <c:ptCount val="3"/>
                <c:pt idx="0">
                  <c:v>497724</c:v>
                </c:pt>
                <c:pt idx="1">
                  <c:v>136250</c:v>
                </c:pt>
                <c:pt idx="2">
                  <c:v>966900</c:v>
                </c:pt>
              </c:numCache>
            </c:numRef>
          </c:val>
          <c:extLst>
            <c:ext xmlns:c16="http://schemas.microsoft.com/office/drawing/2014/chart" uri="{C3380CC4-5D6E-409C-BE32-E72D297353CC}">
              <c16:uniqueId val="{00000000-DE9B-49C2-87BF-852A25FFE2F0}"/>
            </c:ext>
          </c:extLst>
        </c:ser>
        <c:ser>
          <c:idx val="0"/>
          <c:order val="1"/>
          <c:tx>
            <c:strRef>
              <c:f>Budget!$B$38</c:f>
              <c:strCache>
                <c:ptCount val="1"/>
                <c:pt idx="0">
                  <c:v>Heat pump incentives</c:v>
                </c:pt>
              </c:strCache>
            </c:strRef>
          </c:tx>
          <c:spPr>
            <a:solidFill>
              <a:schemeClr val="accent5"/>
            </a:solidFill>
            <a:ln>
              <a:solidFill>
                <a:schemeClr val="bg1"/>
              </a:solidFill>
            </a:ln>
            <a:effectLst/>
          </c:spPr>
          <c:invertIfNegative val="0"/>
          <c:cat>
            <c:strRef>
              <c:extLst>
                <c:ext xmlns:c15="http://schemas.microsoft.com/office/drawing/2012/chart" uri="{02D57815-91ED-43cb-92C2-25804820EDAC}">
                  <c15:fullRef>
                    <c15:sqref>Budget!$C$37:$F$37</c15:sqref>
                  </c15:fullRef>
                </c:ext>
              </c:extLst>
              <c:f>Budget!$D$37:$F$37</c:f>
              <c:strCache>
                <c:ptCount val="3"/>
                <c:pt idx="0">
                  <c:v>Residential</c:v>
                </c:pt>
                <c:pt idx="1">
                  <c:v>Income Eligible, 
Non-Deed Restricted</c:v>
                </c:pt>
                <c:pt idx="2">
                  <c:v>Income Eligible, 
Deed Restricted</c:v>
                </c:pt>
              </c:strCache>
            </c:strRef>
          </c:cat>
          <c:val>
            <c:numRef>
              <c:extLst>
                <c:ext xmlns:c15="http://schemas.microsoft.com/office/drawing/2012/chart" uri="{02D57815-91ED-43cb-92C2-25804820EDAC}">
                  <c15:fullRef>
                    <c15:sqref>Budget!$C$38:$F$38</c15:sqref>
                  </c15:fullRef>
                </c:ext>
              </c:extLst>
              <c:f>Budget!$D$38:$F$38</c:f>
              <c:numCache>
                <c:formatCode>_(* #,##0_);_(* \(#,##0\);_(* "-"??_);_(@_)</c:formatCode>
                <c:ptCount val="3"/>
                <c:pt idx="0">
                  <c:v>842531.4</c:v>
                </c:pt>
                <c:pt idx="1">
                  <c:v>98000</c:v>
                </c:pt>
                <c:pt idx="2">
                  <c:v>1109848.8099999998</c:v>
                </c:pt>
              </c:numCache>
            </c:numRef>
          </c:val>
          <c:extLst>
            <c:ext xmlns:c16="http://schemas.microsoft.com/office/drawing/2014/chart" uri="{C3380CC4-5D6E-409C-BE32-E72D297353CC}">
              <c16:uniqueId val="{00000001-DE9B-49C2-87BF-852A25FFE2F0}"/>
            </c:ext>
          </c:extLst>
        </c:ser>
        <c:ser>
          <c:idx val="2"/>
          <c:order val="2"/>
          <c:tx>
            <c:strRef>
              <c:f>Budget!$B$40</c:f>
              <c:strCache>
                <c:ptCount val="1"/>
                <c:pt idx="0">
                  <c:v>Battery incentives</c:v>
                </c:pt>
              </c:strCache>
            </c:strRef>
          </c:tx>
          <c:spPr>
            <a:solidFill>
              <a:schemeClr val="accent6"/>
            </a:solidFill>
            <a:ln>
              <a:solidFill>
                <a:schemeClr val="bg1"/>
              </a:solidFill>
            </a:ln>
            <a:effectLst/>
          </c:spPr>
          <c:invertIfNegative val="0"/>
          <c:cat>
            <c:strRef>
              <c:extLst>
                <c:ext xmlns:c15="http://schemas.microsoft.com/office/drawing/2012/chart" uri="{02D57815-91ED-43cb-92C2-25804820EDAC}">
                  <c15:fullRef>
                    <c15:sqref>Budget!$C$37:$F$37</c15:sqref>
                  </c15:fullRef>
                </c:ext>
              </c:extLst>
              <c:f>Budget!$D$37:$F$37</c:f>
              <c:strCache>
                <c:ptCount val="3"/>
                <c:pt idx="0">
                  <c:v>Residential</c:v>
                </c:pt>
                <c:pt idx="1">
                  <c:v>Income Eligible, 
Non-Deed Restricted</c:v>
                </c:pt>
                <c:pt idx="2">
                  <c:v>Income Eligible, 
Deed Restricted</c:v>
                </c:pt>
              </c:strCache>
            </c:strRef>
          </c:cat>
          <c:val>
            <c:numRef>
              <c:extLst>
                <c:ext xmlns:c15="http://schemas.microsoft.com/office/drawing/2012/chart" uri="{02D57815-91ED-43cb-92C2-25804820EDAC}">
                  <c15:fullRef>
                    <c15:sqref>Budget!$C$40:$F$40</c15:sqref>
                  </c15:fullRef>
                </c:ext>
              </c:extLst>
              <c:f>Budget!$D$40:$F$40</c:f>
              <c:numCache>
                <c:formatCode>_(* #,##0_);_(* \(#,##0\);_(* "-"??_);_(@_)</c:formatCode>
                <c:ptCount val="3"/>
                <c:pt idx="0">
                  <c:v>98256</c:v>
                </c:pt>
                <c:pt idx="2">
                  <c:v>299498.40000000002</c:v>
                </c:pt>
              </c:numCache>
            </c:numRef>
          </c:val>
          <c:extLst>
            <c:ext xmlns:c16="http://schemas.microsoft.com/office/drawing/2014/chart" uri="{C3380CC4-5D6E-409C-BE32-E72D297353CC}">
              <c16:uniqueId val="{00000002-DE9B-49C2-87BF-852A25FFE2F0}"/>
            </c:ext>
          </c:extLst>
        </c:ser>
        <c:ser>
          <c:idx val="4"/>
          <c:order val="3"/>
          <c:tx>
            <c:strRef>
              <c:f>Budget!$B$41</c:f>
              <c:strCache>
                <c:ptCount val="1"/>
                <c:pt idx="0">
                  <c:v>HEAT Loan interest</c:v>
                </c:pt>
              </c:strCache>
            </c:strRef>
          </c:tx>
          <c:spPr>
            <a:solidFill>
              <a:schemeClr val="accent5">
                <a:lumMod val="60000"/>
              </a:schemeClr>
            </a:solidFill>
            <a:ln>
              <a:solidFill>
                <a:schemeClr val="bg1"/>
              </a:solidFill>
            </a:ln>
            <a:effectLst/>
          </c:spPr>
          <c:invertIfNegative val="0"/>
          <c:cat>
            <c:strRef>
              <c:extLst>
                <c:ext xmlns:c15="http://schemas.microsoft.com/office/drawing/2012/chart" uri="{02D57815-91ED-43cb-92C2-25804820EDAC}">
                  <c15:fullRef>
                    <c15:sqref>Budget!$C$37:$F$37</c15:sqref>
                  </c15:fullRef>
                </c:ext>
              </c:extLst>
              <c:f>Budget!$D$37:$F$37</c:f>
              <c:strCache>
                <c:ptCount val="3"/>
                <c:pt idx="0">
                  <c:v>Residential</c:v>
                </c:pt>
                <c:pt idx="1">
                  <c:v>Income Eligible, 
Non-Deed Restricted</c:v>
                </c:pt>
                <c:pt idx="2">
                  <c:v>Income Eligible, 
Deed Restricted</c:v>
                </c:pt>
              </c:strCache>
            </c:strRef>
          </c:cat>
          <c:val>
            <c:numRef>
              <c:extLst>
                <c:ext xmlns:c15="http://schemas.microsoft.com/office/drawing/2012/chart" uri="{02D57815-91ED-43cb-92C2-25804820EDAC}">
                  <c15:fullRef>
                    <c15:sqref>Budget!$C$41:$F$41</c15:sqref>
                  </c15:fullRef>
                </c:ext>
              </c:extLst>
              <c:f>Budget!$D$41:$F$41</c:f>
              <c:numCache>
                <c:formatCode>_(* #,##0_);_(* \(#,##0\);_(* "-"??_);_(@_)</c:formatCode>
                <c:ptCount val="3"/>
                <c:pt idx="0">
                  <c:v>28141.54</c:v>
                </c:pt>
                <c:pt idx="1">
                  <c:v>28141.54</c:v>
                </c:pt>
              </c:numCache>
            </c:numRef>
          </c:val>
          <c:extLst>
            <c:ext xmlns:c16="http://schemas.microsoft.com/office/drawing/2014/chart" uri="{C3380CC4-5D6E-409C-BE32-E72D297353CC}">
              <c16:uniqueId val="{00000003-DE9B-49C2-87BF-852A25FFE2F0}"/>
            </c:ext>
          </c:extLst>
        </c:ser>
        <c:ser>
          <c:idx val="7"/>
          <c:order val="4"/>
          <c:tx>
            <c:strRef>
              <c:f>Budget!$B$45</c:f>
              <c:strCache>
                <c:ptCount val="1"/>
                <c:pt idx="0">
                  <c:v>EM&amp;V costs</c:v>
                </c:pt>
              </c:strCache>
            </c:strRef>
          </c:tx>
          <c:spPr>
            <a:solidFill>
              <a:schemeClr val="accent3"/>
            </a:solidFill>
            <a:ln>
              <a:solidFill>
                <a:schemeClr val="bg1"/>
              </a:solidFill>
            </a:ln>
            <a:effectLst/>
          </c:spPr>
          <c:invertIfNegative val="0"/>
          <c:cat>
            <c:strRef>
              <c:extLst>
                <c:ext xmlns:c15="http://schemas.microsoft.com/office/drawing/2012/chart" uri="{02D57815-91ED-43cb-92C2-25804820EDAC}">
                  <c15:fullRef>
                    <c15:sqref>Budget!$C$37:$F$37</c15:sqref>
                  </c15:fullRef>
                </c:ext>
              </c:extLst>
              <c:f>Budget!$D$37:$F$37</c:f>
              <c:strCache>
                <c:ptCount val="3"/>
                <c:pt idx="0">
                  <c:v>Residential</c:v>
                </c:pt>
                <c:pt idx="1">
                  <c:v>Income Eligible, 
Non-Deed Restricted</c:v>
                </c:pt>
                <c:pt idx="2">
                  <c:v>Income Eligible, 
Deed Restricted</c:v>
                </c:pt>
              </c:strCache>
            </c:strRef>
          </c:cat>
          <c:val>
            <c:numRef>
              <c:extLst>
                <c:ext xmlns:c15="http://schemas.microsoft.com/office/drawing/2012/chart" uri="{02D57815-91ED-43cb-92C2-25804820EDAC}">
                  <c15:fullRef>
                    <c15:sqref>Budget!$C$45:$F$45</c15:sqref>
                  </c15:fullRef>
                </c:ext>
              </c:extLst>
              <c:f>Budget!$D$45:$F$45</c:f>
              <c:numCache>
                <c:formatCode>_(* #,##0_);_(* \(#,##0\);_(* "-"??_);_(@_)</c:formatCode>
                <c:ptCount val="3"/>
                <c:pt idx="0">
                  <c:v>238762.04200000002</c:v>
                </c:pt>
                <c:pt idx="1">
                  <c:v>0</c:v>
                </c:pt>
                <c:pt idx="2">
                  <c:v>61066.058000000005</c:v>
                </c:pt>
              </c:numCache>
            </c:numRef>
          </c:val>
          <c:extLst>
            <c:ext xmlns:c16="http://schemas.microsoft.com/office/drawing/2014/chart" uri="{C3380CC4-5D6E-409C-BE32-E72D297353CC}">
              <c16:uniqueId val="{00000004-DE9B-49C2-87BF-852A25FFE2F0}"/>
            </c:ext>
          </c:extLst>
        </c:ser>
        <c:ser>
          <c:idx val="5"/>
          <c:order val="5"/>
          <c:tx>
            <c:strRef>
              <c:f>Budget!$B$43</c:f>
              <c:strCache>
                <c:ptCount val="1"/>
                <c:pt idx="0">
                  <c:v>STAT costs</c:v>
                </c:pt>
              </c:strCache>
            </c:strRef>
          </c:tx>
          <c:spPr>
            <a:solidFill>
              <a:schemeClr val="tx2"/>
            </a:solidFill>
            <a:ln>
              <a:solidFill>
                <a:schemeClr val="bg1"/>
              </a:solidFill>
            </a:ln>
            <a:effectLst/>
          </c:spPr>
          <c:invertIfNegative val="0"/>
          <c:cat>
            <c:strRef>
              <c:extLst>
                <c:ext xmlns:c15="http://schemas.microsoft.com/office/drawing/2012/chart" uri="{02D57815-91ED-43cb-92C2-25804820EDAC}">
                  <c15:fullRef>
                    <c15:sqref>Budget!$C$37:$F$37</c15:sqref>
                  </c15:fullRef>
                </c:ext>
              </c:extLst>
              <c:f>Budget!$D$37:$F$37</c:f>
              <c:strCache>
                <c:ptCount val="3"/>
                <c:pt idx="0">
                  <c:v>Residential</c:v>
                </c:pt>
                <c:pt idx="1">
                  <c:v>Income Eligible, 
Non-Deed Restricted</c:v>
                </c:pt>
                <c:pt idx="2">
                  <c:v>Income Eligible, 
Deed Restricted</c:v>
                </c:pt>
              </c:strCache>
            </c:strRef>
          </c:cat>
          <c:val>
            <c:numRef>
              <c:extLst>
                <c:ext xmlns:c15="http://schemas.microsoft.com/office/drawing/2012/chart" uri="{02D57815-91ED-43cb-92C2-25804820EDAC}">
                  <c15:fullRef>
                    <c15:sqref>Budget!$C$43:$F$43</c15:sqref>
                  </c15:fullRef>
                </c:ext>
              </c:extLst>
              <c:f>Budget!$D$43:$F$43</c:f>
              <c:numCache>
                <c:formatCode>_(* #,##0_);_(* \(#,##0\);_(* "-"??_);_(@_)</c:formatCode>
                <c:ptCount val="3"/>
                <c:pt idx="0">
                  <c:v>216385.71999999997</c:v>
                </c:pt>
                <c:pt idx="1">
                  <c:v>51849.775000000001</c:v>
                </c:pt>
                <c:pt idx="2">
                  <c:v>360037.03500000003</c:v>
                </c:pt>
              </c:numCache>
            </c:numRef>
          </c:val>
          <c:extLst>
            <c:ext xmlns:c16="http://schemas.microsoft.com/office/drawing/2014/chart" uri="{C3380CC4-5D6E-409C-BE32-E72D297353CC}">
              <c16:uniqueId val="{00000005-DE9B-49C2-87BF-852A25FFE2F0}"/>
            </c:ext>
          </c:extLst>
        </c:ser>
        <c:ser>
          <c:idx val="3"/>
          <c:order val="7"/>
          <c:tx>
            <c:strRef>
              <c:f>Budget!$B$42</c:f>
              <c:strCache>
                <c:ptCount val="1"/>
                <c:pt idx="0">
                  <c:v>Stoves</c:v>
                </c:pt>
              </c:strCache>
            </c:strRef>
          </c:tx>
          <c:spPr>
            <a:solidFill>
              <a:schemeClr val="accent6">
                <a:lumMod val="75000"/>
              </a:schemeClr>
            </a:solidFill>
            <a:ln>
              <a:solidFill>
                <a:schemeClr val="bg1"/>
              </a:solidFill>
            </a:ln>
            <a:effectLst/>
          </c:spPr>
          <c:invertIfNegative val="0"/>
          <c:cat>
            <c:strLit>
              <c:ptCount val="3"/>
              <c:pt idx="0">
                <c:v>Residential</c:v>
              </c:pt>
              <c:pt idx="1">
                <c:v>Income Eligible, 
Non-Deed Restricted</c:v>
              </c:pt>
              <c:pt idx="2">
                <c:v>Income Eligible, 
Deed Restricted</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Budget!$C$42:$F$42</c15:sqref>
                  </c15:fullRef>
                </c:ext>
              </c:extLst>
              <c:f>Budget!$D$42:$F$42</c:f>
              <c:numCache>
                <c:formatCode>_(* #,##0_);_(* \(#,##0\);_(* "-"??_);_(@_)</c:formatCode>
                <c:ptCount val="3"/>
                <c:pt idx="0">
                  <c:v>3143.49</c:v>
                </c:pt>
                <c:pt idx="2">
                  <c:v>4579</c:v>
                </c:pt>
              </c:numCache>
            </c:numRef>
          </c:val>
          <c:extLst>
            <c:ext xmlns:c16="http://schemas.microsoft.com/office/drawing/2014/chart" uri="{C3380CC4-5D6E-409C-BE32-E72D297353CC}">
              <c16:uniqueId val="{00000001-4380-4A83-B207-C8C6E84943AE}"/>
            </c:ext>
          </c:extLst>
        </c:ser>
        <c:dLbls>
          <c:showLegendKey val="0"/>
          <c:showVal val="0"/>
          <c:showCatName val="0"/>
          <c:showSerName val="0"/>
          <c:showPercent val="0"/>
          <c:showBubbleSize val="0"/>
        </c:dLbls>
        <c:gapWidth val="50"/>
        <c:overlap val="100"/>
        <c:axId val="194446560"/>
        <c:axId val="194454464"/>
        <c:extLst>
          <c:ext xmlns:c15="http://schemas.microsoft.com/office/drawing/2012/chart" uri="{02D57815-91ED-43cb-92C2-25804820EDAC}">
            <c15:filteredBarSeries>
              <c15:ser>
                <c:idx val="6"/>
                <c:order val="6"/>
                <c:tx>
                  <c:strRef>
                    <c:extLst>
                      <c:ext uri="{02D57815-91ED-43cb-92C2-25804820EDAC}">
                        <c15:formulaRef>
                          <c15:sqref>Budget!$B$44</c15:sqref>
                        </c15:formulaRef>
                      </c:ext>
                    </c:extLst>
                    <c:strCache>
                      <c:ptCount val="1"/>
                      <c:pt idx="0">
                        <c:v>Marketing costs</c:v>
                      </c:pt>
                    </c:strCache>
                  </c:strRef>
                </c:tx>
                <c:spPr>
                  <a:solidFill>
                    <a:schemeClr val="accent4">
                      <a:lumMod val="75000"/>
                    </a:schemeClr>
                  </a:solidFill>
                  <a:ln>
                    <a:solidFill>
                      <a:schemeClr val="bg1"/>
                    </a:solidFill>
                  </a:ln>
                  <a:effectLst/>
                </c:spPr>
                <c:invertIfNegative val="0"/>
                <c:cat>
                  <c:strRef>
                    <c:extLst>
                      <c:ext uri="{02D57815-91ED-43cb-92C2-25804820EDAC}">
                        <c15:fullRef>
                          <c15:sqref>Budget!$C$37:$F$37</c15:sqref>
                        </c15:fullRef>
                        <c15:formulaRef>
                          <c15:sqref>Budget!$D$37:$F$37</c15:sqref>
                        </c15:formulaRef>
                      </c:ext>
                    </c:extLst>
                    <c:strCache>
                      <c:ptCount val="3"/>
                      <c:pt idx="0">
                        <c:v>Residential</c:v>
                      </c:pt>
                      <c:pt idx="1">
                        <c:v>Income Eligible, 
Non-Deed Restricted</c:v>
                      </c:pt>
                      <c:pt idx="2">
                        <c:v>Income Eligible, 
Deed Restricted</c:v>
                      </c:pt>
                    </c:strCache>
                  </c:strRef>
                </c:cat>
                <c:val>
                  <c:numRef>
                    <c:extLst>
                      <c:ext uri="{02D57815-91ED-43cb-92C2-25804820EDAC}">
                        <c15:fullRef>
                          <c15:sqref>Budget!$C$44:$F$44</c15:sqref>
                        </c15:fullRef>
                        <c15:formulaRef>
                          <c15:sqref>Budget!$D$44:$F$44</c15:sqref>
                        </c15:formulaRef>
                      </c:ext>
                    </c:extLst>
                    <c:numCache>
                      <c:formatCode>_(* #,##0_);_(* \(#,##0\);_(* "-"??_);_(@_)</c:formatCode>
                      <c:ptCount val="3"/>
                      <c:pt idx="0">
                        <c:v>0</c:v>
                      </c:pt>
                      <c:pt idx="1">
                        <c:v>0</c:v>
                      </c:pt>
                      <c:pt idx="2">
                        <c:v>0</c:v>
                      </c:pt>
                    </c:numCache>
                  </c:numRef>
                </c:val>
                <c:extLst>
                  <c:ext xmlns:c16="http://schemas.microsoft.com/office/drawing/2014/chart" uri="{C3380CC4-5D6E-409C-BE32-E72D297353CC}">
                    <c16:uniqueId val="{00000006-DE9B-49C2-87BF-852A25FFE2F0}"/>
                  </c:ext>
                </c:extLst>
              </c15:ser>
            </c15:filteredBarSeries>
          </c:ext>
        </c:extLst>
      </c:barChart>
      <c:catAx>
        <c:axId val="194446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4454464"/>
        <c:crosses val="autoZero"/>
        <c:auto val="1"/>
        <c:lblAlgn val="ctr"/>
        <c:lblOffset val="100"/>
        <c:noMultiLvlLbl val="0"/>
      </c:catAx>
      <c:valAx>
        <c:axId val="194454464"/>
        <c:scaling>
          <c:orientation val="minMax"/>
        </c:scaling>
        <c:delete val="0"/>
        <c:axPos val="l"/>
        <c:majorGridlines>
          <c:spPr>
            <a:ln w="9525" cap="flat" cmpd="sng" algn="ctr">
              <a:solidFill>
                <a:schemeClr val="bg1">
                  <a:lumMod val="85000"/>
                </a:schemeClr>
              </a:solidFill>
              <a:round/>
            </a:ln>
            <a:effectLst/>
          </c:spPr>
        </c:majorGridlines>
        <c:numFmt formatCode="&quot;$&quot;#,##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4446560"/>
        <c:crosses val="autoZero"/>
        <c:crossBetween val="between"/>
        <c:dispUnits>
          <c:builtInUnit val="millions"/>
          <c:dispUnitsLbl>
            <c:layout>
              <c:manualLayout>
                <c:xMode val="edge"/>
                <c:yMode val="edge"/>
                <c:x val="1.9975604011037078E-2"/>
                <c:y val="0.22222222222222221"/>
              </c:manualLayout>
            </c:layout>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CVEO Costs ($M)</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09378154653748"/>
          <c:y val="5.4236293379994166E-2"/>
          <c:w val="0.63938202436233937"/>
          <c:h val="0.82116469816272963"/>
        </c:manualLayout>
      </c:layout>
      <c:barChart>
        <c:barDir val="col"/>
        <c:grouping val="stacked"/>
        <c:varyColors val="0"/>
        <c:ser>
          <c:idx val="1"/>
          <c:order val="0"/>
          <c:tx>
            <c:v>Income Eligible</c:v>
          </c:tx>
          <c:spPr>
            <a:solidFill>
              <a:schemeClr val="accent1"/>
            </a:solidFill>
            <a:ln>
              <a:solidFill>
                <a:schemeClr val="bg1"/>
              </a:solidFill>
            </a:ln>
            <a:effectLst/>
          </c:spPr>
          <c:invertIfNegative val="0"/>
          <c:cat>
            <c:strLit>
              <c:ptCount val="1"/>
              <c:pt idx="0">
                <c:v>CVEO</c:v>
              </c:pt>
            </c:strLit>
          </c:cat>
          <c:val>
            <c:numRef>
              <c:f>Results!$D$52</c:f>
              <c:numCache>
                <c:formatCode>_(* #,##0.00_);_(* \(#,##0.00\);_(* "-"??_);_(@_)</c:formatCode>
                <c:ptCount val="1"/>
                <c:pt idx="0">
                  <c:v>3.0832400779999998</c:v>
                </c:pt>
              </c:numCache>
            </c:numRef>
          </c:val>
          <c:extLst>
            <c:ext xmlns:c16="http://schemas.microsoft.com/office/drawing/2014/chart" uri="{C3380CC4-5D6E-409C-BE32-E72D297353CC}">
              <c16:uniqueId val="{00000000-E79F-47F7-95EA-5A10FFB16C4F}"/>
            </c:ext>
          </c:extLst>
        </c:ser>
        <c:ser>
          <c:idx val="0"/>
          <c:order val="1"/>
          <c:tx>
            <c:v>Residential</c:v>
          </c:tx>
          <c:spPr>
            <a:solidFill>
              <a:schemeClr val="accent6"/>
            </a:solidFill>
            <a:ln>
              <a:solidFill>
                <a:schemeClr val="bg1"/>
              </a:solidFill>
            </a:ln>
            <a:effectLst/>
          </c:spPr>
          <c:invertIfNegative val="0"/>
          <c:cat>
            <c:strLit>
              <c:ptCount val="1"/>
              <c:pt idx="0">
                <c:v>CVEO</c:v>
              </c:pt>
            </c:strLit>
          </c:cat>
          <c:val>
            <c:numRef>
              <c:f>Results!$D$51</c:f>
              <c:numCache>
                <c:formatCode>_(* #,##0.00_);_(* \(#,##0.00\);_(* "-"??_);_(@_)</c:formatCode>
                <c:ptCount val="1"/>
                <c:pt idx="0">
                  <c:v>1.9308906919999997</c:v>
                </c:pt>
              </c:numCache>
            </c:numRef>
          </c:val>
          <c:extLst>
            <c:ext xmlns:c16="http://schemas.microsoft.com/office/drawing/2014/chart" uri="{C3380CC4-5D6E-409C-BE32-E72D297353CC}">
              <c16:uniqueId val="{00000001-E79F-47F7-95EA-5A10FFB16C4F}"/>
            </c:ext>
          </c:extLst>
        </c:ser>
        <c:dLbls>
          <c:showLegendKey val="0"/>
          <c:showVal val="0"/>
          <c:showCatName val="0"/>
          <c:showSerName val="0"/>
          <c:showPercent val="0"/>
          <c:showBubbleSize val="0"/>
        </c:dLbls>
        <c:gapWidth val="50"/>
        <c:overlap val="100"/>
        <c:axId val="936591552"/>
        <c:axId val="936595296"/>
      </c:barChart>
      <c:catAx>
        <c:axId val="936591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36595296"/>
        <c:crosses val="autoZero"/>
        <c:auto val="1"/>
        <c:lblAlgn val="ctr"/>
        <c:lblOffset val="100"/>
        <c:noMultiLvlLbl val="0"/>
      </c:catAx>
      <c:valAx>
        <c:axId val="936595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CVEO Costs ($M)</a:t>
                </a:r>
              </a:p>
            </c:rich>
          </c:tx>
          <c:layout>
            <c:manualLayout>
              <c:xMode val="edge"/>
              <c:yMode val="edge"/>
              <c:x val="2.8621878995894745E-2"/>
              <c:y val="0.22457567804024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quot;$&quot;#,##0.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365915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505131821208915"/>
          <c:y val="3.0555555555555555E-2"/>
          <c:w val="0.50103599456784331"/>
          <c:h val="0.8323794838145232"/>
        </c:manualLayout>
      </c:layout>
      <c:barChart>
        <c:barDir val="bar"/>
        <c:grouping val="clustered"/>
        <c:varyColors val="0"/>
        <c:ser>
          <c:idx val="1"/>
          <c:order val="0"/>
          <c:tx>
            <c:strRef>
              <c:f>ParticipantBills!$AJ$60</c:f>
              <c:strCache>
                <c:ptCount val="1"/>
                <c:pt idx="0">
                  <c:v>Post-CVEO</c:v>
                </c:pt>
              </c:strCache>
            </c:strRef>
          </c:tx>
          <c:spPr>
            <a:solidFill>
              <a:schemeClr val="accent1"/>
            </a:solidFill>
            <a:ln>
              <a:solidFill>
                <a:schemeClr val="bg1"/>
              </a:solidFill>
            </a:ln>
            <a:effectLst/>
          </c:spPr>
          <c:invertIfNegative val="0"/>
          <c:dLbls>
            <c:delete val="1"/>
          </c:dLbls>
          <c:cat>
            <c:strRef>
              <c:f>ParticipantBills!$AM$62:$AM$75</c:f>
              <c:strCache>
                <c:ptCount val="14"/>
                <c:pt idx="0">
                  <c:v>Oil to Ductless no Battery (3)</c:v>
                </c:pt>
                <c:pt idx="1">
                  <c:v>Oil to Ductless w/Battery (2)</c:v>
                </c:pt>
                <c:pt idx="2">
                  <c:v>Propane to Ductless no Battery (9)</c:v>
                </c:pt>
                <c:pt idx="3">
                  <c:v>Electric to Ductless no Battery (1)</c:v>
                </c:pt>
                <c:pt idx="4">
                  <c:v>HP prior to CVEO w/Battery (1)</c:v>
                </c:pt>
                <c:pt idx="5">
                  <c:v>Oil to Ductless no Battery (4)</c:v>
                </c:pt>
                <c:pt idx="6">
                  <c:v>Oil to Ductless w/Battery (2)</c:v>
                </c:pt>
                <c:pt idx="7">
                  <c:v>Propane to Ductless no Battery (12)</c:v>
                </c:pt>
                <c:pt idx="8">
                  <c:v>Propane to Ductless w/Battery (3)</c:v>
                </c:pt>
                <c:pt idx="9">
                  <c:v>Propane to Ducted no Battery (7)</c:v>
                </c:pt>
                <c:pt idx="10">
                  <c:v>Electric to Ductless no Battery (1)</c:v>
                </c:pt>
                <c:pt idx="11">
                  <c:v>Electric to Ductless w/Battery (1)</c:v>
                </c:pt>
                <c:pt idx="12">
                  <c:v>HP prior to CVEO no Battery (6)</c:v>
                </c:pt>
                <c:pt idx="13">
                  <c:v>HP prior to CVEO w/Battery (3)</c:v>
                </c:pt>
              </c:strCache>
            </c:strRef>
          </c:cat>
          <c:val>
            <c:numRef>
              <c:f>ParticipantBills!$AJ$62:$AJ$75</c:f>
              <c:numCache>
                <c:formatCode>_(* #,##0_);_(* \(#,##0\);_(* "-"??_);_(@_)</c:formatCode>
                <c:ptCount val="14"/>
                <c:pt idx="0">
                  <c:v>2499.1033326666666</c:v>
                </c:pt>
                <c:pt idx="1">
                  <c:v>2658.0690789999999</c:v>
                </c:pt>
                <c:pt idx="2">
                  <c:v>1995.8172158752673</c:v>
                </c:pt>
                <c:pt idx="3">
                  <c:v>3723.2383894483964</c:v>
                </c:pt>
                <c:pt idx="4">
                  <c:v>1194.0404350482081</c:v>
                </c:pt>
                <c:pt idx="5">
                  <c:v>1259.5187538333337</c:v>
                </c:pt>
                <c:pt idx="6">
                  <c:v>107.72423167606095</c:v>
                </c:pt>
                <c:pt idx="7">
                  <c:v>620.71117746952211</c:v>
                </c:pt>
                <c:pt idx="8">
                  <c:v>209.98072298313491</c:v>
                </c:pt>
                <c:pt idx="9">
                  <c:v>616.66913244578188</c:v>
                </c:pt>
                <c:pt idx="10">
                  <c:v>134.08822287109791</c:v>
                </c:pt>
                <c:pt idx="11">
                  <c:v>727.43600097651074</c:v>
                </c:pt>
                <c:pt idx="12">
                  <c:v>654.76370606879971</c:v>
                </c:pt>
                <c:pt idx="13">
                  <c:v>115.56410249174941</c:v>
                </c:pt>
              </c:numCache>
            </c:numRef>
          </c:val>
          <c:extLst>
            <c:ext xmlns:c16="http://schemas.microsoft.com/office/drawing/2014/chart" uri="{C3380CC4-5D6E-409C-BE32-E72D297353CC}">
              <c16:uniqueId val="{00000001-9DDB-48E7-9925-9C995166584D}"/>
            </c:ext>
          </c:extLst>
        </c:ser>
        <c:ser>
          <c:idx val="0"/>
          <c:order val="1"/>
          <c:tx>
            <c:strRef>
              <c:f>ParticipantBills!$AI$60</c:f>
              <c:strCache>
                <c:ptCount val="1"/>
                <c:pt idx="0">
                  <c:v>Pre-CVEO</c:v>
                </c:pt>
              </c:strCache>
            </c:strRef>
          </c:tx>
          <c:spPr>
            <a:solidFill>
              <a:schemeClr val="tx1">
                <a:lumMod val="65000"/>
                <a:lumOff val="35000"/>
              </a:schemeClr>
            </a:solidFill>
            <a:ln>
              <a:solidFill>
                <a:schemeClr val="bg1"/>
              </a:solidFill>
            </a:ln>
            <a:effectLst/>
          </c:spPr>
          <c:invertIfNegative val="0"/>
          <c:dLbls>
            <c:dLbl>
              <c:idx val="0"/>
              <c:tx>
                <c:rich>
                  <a:bodyPr/>
                  <a:lstStyle/>
                  <a:p>
                    <a:fld id="{29A837E5-4A5A-40F4-BF90-D91E34A4D743}"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DDB-48E7-9925-9C995166584D}"/>
                </c:ext>
              </c:extLst>
            </c:dLbl>
            <c:dLbl>
              <c:idx val="1"/>
              <c:tx>
                <c:rich>
                  <a:bodyPr/>
                  <a:lstStyle/>
                  <a:p>
                    <a:fld id="{49340A32-4E25-4DC6-9A11-A96557186312}"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DDB-48E7-9925-9C995166584D}"/>
                </c:ext>
              </c:extLst>
            </c:dLbl>
            <c:dLbl>
              <c:idx val="2"/>
              <c:tx>
                <c:rich>
                  <a:bodyPr/>
                  <a:lstStyle/>
                  <a:p>
                    <a:fld id="{D6892FE4-C9EF-4FB2-829F-0AAE2F17128B}"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DDB-48E7-9925-9C995166584D}"/>
                </c:ext>
              </c:extLst>
            </c:dLbl>
            <c:dLbl>
              <c:idx val="3"/>
              <c:tx>
                <c:rich>
                  <a:bodyPr/>
                  <a:lstStyle/>
                  <a:p>
                    <a:fld id="{372D7838-65BB-42A7-B5DB-1CF7E9B8B95B}"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DDB-48E7-9925-9C995166584D}"/>
                </c:ext>
              </c:extLst>
            </c:dLbl>
            <c:dLbl>
              <c:idx val="4"/>
              <c:tx>
                <c:rich>
                  <a:bodyPr/>
                  <a:lstStyle/>
                  <a:p>
                    <a:fld id="{E5CE26C1-F3F3-42C7-B81B-6905F7B45502}"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DDB-48E7-9925-9C995166584D}"/>
                </c:ext>
              </c:extLst>
            </c:dLbl>
            <c:dLbl>
              <c:idx val="5"/>
              <c:tx>
                <c:rich>
                  <a:bodyPr/>
                  <a:lstStyle/>
                  <a:p>
                    <a:fld id="{318C4198-D6C5-4D87-9A24-8D1191C87BA6}"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DDB-48E7-9925-9C995166584D}"/>
                </c:ext>
              </c:extLst>
            </c:dLbl>
            <c:dLbl>
              <c:idx val="6"/>
              <c:tx>
                <c:rich>
                  <a:bodyPr/>
                  <a:lstStyle/>
                  <a:p>
                    <a:fld id="{36F7D980-D52B-43F1-8A21-6523339096E1}"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DDB-48E7-9925-9C995166584D}"/>
                </c:ext>
              </c:extLst>
            </c:dLbl>
            <c:dLbl>
              <c:idx val="7"/>
              <c:tx>
                <c:rich>
                  <a:bodyPr/>
                  <a:lstStyle/>
                  <a:p>
                    <a:fld id="{97A529F1-8669-46FF-98CB-AE1BD7727EAA}"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DDB-48E7-9925-9C995166584D}"/>
                </c:ext>
              </c:extLst>
            </c:dLbl>
            <c:dLbl>
              <c:idx val="8"/>
              <c:tx>
                <c:rich>
                  <a:bodyPr/>
                  <a:lstStyle/>
                  <a:p>
                    <a:fld id="{0F585505-0B6D-43DB-9DD9-C77FB11A5658}"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DDB-48E7-9925-9C995166584D}"/>
                </c:ext>
              </c:extLst>
            </c:dLbl>
            <c:dLbl>
              <c:idx val="9"/>
              <c:tx>
                <c:rich>
                  <a:bodyPr/>
                  <a:lstStyle/>
                  <a:p>
                    <a:fld id="{51CF0EAD-D1D3-4694-9CD3-9EA1EC9A088A}"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DDB-48E7-9925-9C995166584D}"/>
                </c:ext>
              </c:extLst>
            </c:dLbl>
            <c:dLbl>
              <c:idx val="10"/>
              <c:tx>
                <c:rich>
                  <a:bodyPr/>
                  <a:lstStyle/>
                  <a:p>
                    <a:fld id="{D5AFCCFD-1B22-4644-8B3E-692BA23F96D4}"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DDB-48E7-9925-9C995166584D}"/>
                </c:ext>
              </c:extLst>
            </c:dLbl>
            <c:dLbl>
              <c:idx val="11"/>
              <c:tx>
                <c:rich>
                  <a:bodyPr/>
                  <a:lstStyle/>
                  <a:p>
                    <a:fld id="{E352CFD0-D115-4F7B-AFCB-FF042C27401E}"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DDB-48E7-9925-9C995166584D}"/>
                </c:ext>
              </c:extLst>
            </c:dLbl>
            <c:dLbl>
              <c:idx val="12"/>
              <c:tx>
                <c:rich>
                  <a:bodyPr/>
                  <a:lstStyle/>
                  <a:p>
                    <a:fld id="{F73874B7-A72E-45D7-970D-5A32D02E83E3}"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DDB-48E7-9925-9C995166584D}"/>
                </c:ext>
              </c:extLst>
            </c:dLbl>
            <c:dLbl>
              <c:idx val="13"/>
              <c:tx>
                <c:rich>
                  <a:bodyPr/>
                  <a:lstStyle/>
                  <a:p>
                    <a:fld id="{A2F733E1-2C5D-4C8F-89D7-5D9415F77F0C}"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DDB-48E7-9925-9C995166584D}"/>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ParticipantBills!$AM$62:$AM$75</c:f>
              <c:strCache>
                <c:ptCount val="14"/>
                <c:pt idx="0">
                  <c:v>Oil to Ductless no Battery (3)</c:v>
                </c:pt>
                <c:pt idx="1">
                  <c:v>Oil to Ductless w/Battery (2)</c:v>
                </c:pt>
                <c:pt idx="2">
                  <c:v>Propane to Ductless no Battery (9)</c:v>
                </c:pt>
                <c:pt idx="3">
                  <c:v>Electric to Ductless no Battery (1)</c:v>
                </c:pt>
                <c:pt idx="4">
                  <c:v>HP prior to CVEO w/Battery (1)</c:v>
                </c:pt>
                <c:pt idx="5">
                  <c:v>Oil to Ductless no Battery (4)</c:v>
                </c:pt>
                <c:pt idx="6">
                  <c:v>Oil to Ductless w/Battery (2)</c:v>
                </c:pt>
                <c:pt idx="7">
                  <c:v>Propane to Ductless no Battery (12)</c:v>
                </c:pt>
                <c:pt idx="8">
                  <c:v>Propane to Ductless w/Battery (3)</c:v>
                </c:pt>
                <c:pt idx="9">
                  <c:v>Propane to Ducted no Battery (7)</c:v>
                </c:pt>
                <c:pt idx="10">
                  <c:v>Electric to Ductless no Battery (1)</c:v>
                </c:pt>
                <c:pt idx="11">
                  <c:v>Electric to Ductless w/Battery (1)</c:v>
                </c:pt>
                <c:pt idx="12">
                  <c:v>HP prior to CVEO no Battery (6)</c:v>
                </c:pt>
                <c:pt idx="13">
                  <c:v>HP prior to CVEO w/Battery (3)</c:v>
                </c:pt>
              </c:strCache>
            </c:strRef>
          </c:cat>
          <c:val>
            <c:numRef>
              <c:f>ParticipantBills!$AI$62:$AI$75</c:f>
              <c:numCache>
                <c:formatCode>_(* #,##0_);_(* \(#,##0\);_(* "-"??_);_(@_)</c:formatCode>
                <c:ptCount val="14"/>
                <c:pt idx="0">
                  <c:v>3791.4584696387624</c:v>
                </c:pt>
                <c:pt idx="1">
                  <c:v>3791.4584696387624</c:v>
                </c:pt>
                <c:pt idx="2">
                  <c:v>5032.717324158677</c:v>
                </c:pt>
                <c:pt idx="3">
                  <c:v>6403.3727828249221</c:v>
                </c:pt>
                <c:pt idx="4">
                  <c:v>4518.3581407857146</c:v>
                </c:pt>
                <c:pt idx="5">
                  <c:v>2932.9356914317013</c:v>
                </c:pt>
                <c:pt idx="6">
                  <c:v>2932.9356914317013</c:v>
                </c:pt>
                <c:pt idx="7">
                  <c:v>2838.7476360274732</c:v>
                </c:pt>
                <c:pt idx="8">
                  <c:v>2838.7476360274732</c:v>
                </c:pt>
                <c:pt idx="9">
                  <c:v>2290.2782090796168</c:v>
                </c:pt>
                <c:pt idx="10">
                  <c:v>2914.7357659581048</c:v>
                </c:pt>
                <c:pt idx="11">
                  <c:v>2914.7357659581048</c:v>
                </c:pt>
                <c:pt idx="12">
                  <c:v>1868.4572380114289</c:v>
                </c:pt>
                <c:pt idx="13">
                  <c:v>1868.4572380114289</c:v>
                </c:pt>
              </c:numCache>
            </c:numRef>
          </c:val>
          <c:extLst>
            <c:ext xmlns:c15="http://schemas.microsoft.com/office/drawing/2012/chart" uri="{02D57815-91ED-43cb-92C2-25804820EDAC}">
              <c15:datalabelsRange>
                <c15:f>ParticipantBills!$AK$62:$AK$75</c15:f>
                <c15:dlblRangeCache>
                  <c:ptCount val="14"/>
                  <c:pt idx="0">
                    <c:v>-34%</c:v>
                  </c:pt>
                  <c:pt idx="1">
                    <c:v>-30%</c:v>
                  </c:pt>
                  <c:pt idx="2">
                    <c:v>-60%</c:v>
                  </c:pt>
                  <c:pt idx="3">
                    <c:v>-42%</c:v>
                  </c:pt>
                  <c:pt idx="4">
                    <c:v>-74%</c:v>
                  </c:pt>
                  <c:pt idx="5">
                    <c:v>-57%</c:v>
                  </c:pt>
                  <c:pt idx="6">
                    <c:v>-96%</c:v>
                  </c:pt>
                  <c:pt idx="7">
                    <c:v>-78%</c:v>
                  </c:pt>
                  <c:pt idx="8">
                    <c:v>-93%</c:v>
                  </c:pt>
                  <c:pt idx="9">
                    <c:v>-73%</c:v>
                  </c:pt>
                  <c:pt idx="10">
                    <c:v>-95%</c:v>
                  </c:pt>
                  <c:pt idx="11">
                    <c:v>-75%</c:v>
                  </c:pt>
                  <c:pt idx="12">
                    <c:v>-65%</c:v>
                  </c:pt>
                  <c:pt idx="13">
                    <c:v>-94%</c:v>
                  </c:pt>
                </c15:dlblRangeCache>
              </c15:datalabelsRange>
            </c:ext>
            <c:ext xmlns:c16="http://schemas.microsoft.com/office/drawing/2014/chart" uri="{C3380CC4-5D6E-409C-BE32-E72D297353CC}">
              <c16:uniqueId val="{00000000-9DDB-48E7-9925-9C995166584D}"/>
            </c:ext>
          </c:extLst>
        </c:ser>
        <c:dLbls>
          <c:dLblPos val="outEnd"/>
          <c:showLegendKey val="0"/>
          <c:showVal val="1"/>
          <c:showCatName val="0"/>
          <c:showSerName val="0"/>
          <c:showPercent val="0"/>
          <c:showBubbleSize val="0"/>
        </c:dLbls>
        <c:gapWidth val="50"/>
        <c:axId val="349297264"/>
        <c:axId val="349294384"/>
      </c:barChart>
      <c:catAx>
        <c:axId val="3492972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49294384"/>
        <c:crosses val="autoZero"/>
        <c:auto val="1"/>
        <c:lblAlgn val="ctr"/>
        <c:lblOffset val="100"/>
        <c:noMultiLvlLbl val="0"/>
      </c:catAx>
      <c:valAx>
        <c:axId val="3492943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a:t>Total Energy Bill ($/Year)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49297264"/>
        <c:crosses val="autoZero"/>
        <c:crossBetween val="between"/>
      </c:valAx>
      <c:spPr>
        <a:noFill/>
        <a:ln>
          <a:noFill/>
        </a:ln>
        <a:effectLst/>
      </c:spPr>
    </c:plotArea>
    <c:legend>
      <c:legendPos val="r"/>
      <c:layout>
        <c:manualLayout>
          <c:xMode val="edge"/>
          <c:yMode val="edge"/>
          <c:x val="0.79957055274807065"/>
          <c:y val="0.10661225940507436"/>
          <c:w val="0.13616742403468224"/>
          <c:h val="0.13399770341207348"/>
        </c:manualLayout>
      </c:layout>
      <c:overlay val="1"/>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02745159290552"/>
          <c:y val="6.4661307580454894E-2"/>
          <c:w val="0.57483119464036825"/>
          <c:h val="0.69204505686789153"/>
        </c:manualLayout>
      </c:layout>
      <c:barChart>
        <c:barDir val="col"/>
        <c:grouping val="stacked"/>
        <c:varyColors val="0"/>
        <c:ser>
          <c:idx val="2"/>
          <c:order val="0"/>
          <c:tx>
            <c:strRef>
              <c:f>ParticipantBills!$AD$15</c:f>
              <c:strCache>
                <c:ptCount val="1"/>
                <c:pt idx="0">
                  <c:v>Electric Bill</c:v>
                </c:pt>
              </c:strCache>
            </c:strRef>
          </c:tx>
          <c:spPr>
            <a:solidFill>
              <a:schemeClr val="accent1">
                <a:lumMod val="75000"/>
              </a:schemeClr>
            </a:solidFill>
            <a:ln>
              <a:solidFill>
                <a:schemeClr val="bg1"/>
              </a:solidFill>
            </a:ln>
          </c:spPr>
          <c:invertIfNegative val="0"/>
          <c:dLbls>
            <c:dLbl>
              <c:idx val="0"/>
              <c:tx>
                <c:rich>
                  <a:bodyPr/>
                  <a:lstStyle/>
                  <a:p>
                    <a:fld id="{9157B578-BB33-44F7-88AC-58EE036F5A9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811-437E-A6CB-71570CA613AB}"/>
                </c:ext>
              </c:extLst>
            </c:dLbl>
            <c:dLbl>
              <c:idx val="1"/>
              <c:tx>
                <c:rich>
                  <a:bodyPr/>
                  <a:lstStyle/>
                  <a:p>
                    <a:fld id="{574144C1-6254-4574-8B6A-7D4D5F51455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811-437E-A6CB-71570CA613AB}"/>
                </c:ext>
              </c:extLst>
            </c:dLbl>
            <c:spPr>
              <a:solidFill>
                <a:schemeClr val="accent1">
                  <a:lumMod val="75000"/>
                </a:schemeClr>
              </a:solidFill>
              <a:ln>
                <a:noFill/>
              </a:ln>
              <a:effectLst/>
            </c:spPr>
            <c:txPr>
              <a:bodyPr/>
              <a:lstStyle/>
              <a:p>
                <a:pPr>
                  <a:defRPr>
                    <a:solidFill>
                      <a:schemeClr val="bg1"/>
                    </a:solidFill>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ParticipantBills!$AE$14:$AF$14</c:f>
              <c:strCache>
                <c:ptCount val="2"/>
                <c:pt idx="0">
                  <c:v>Before 
CVEO</c:v>
                </c:pt>
                <c:pt idx="1">
                  <c:v>CVEO</c:v>
                </c:pt>
              </c:strCache>
            </c:strRef>
          </c:cat>
          <c:val>
            <c:numRef>
              <c:f>ParticipantBills!$AE$15:$AF$15</c:f>
              <c:numCache>
                <c:formatCode>_(* #,##0_);_(* \(#,##0\);_(* "-"??_);_(@_)</c:formatCode>
                <c:ptCount val="2"/>
                <c:pt idx="0">
                  <c:v>1267.3777084000003</c:v>
                </c:pt>
                <c:pt idx="1">
                  <c:v>620.71117746952211</c:v>
                </c:pt>
              </c:numCache>
            </c:numRef>
          </c:val>
          <c:extLst>
            <c:ext xmlns:c15="http://schemas.microsoft.com/office/drawing/2012/chart" uri="{02D57815-91ED-43cb-92C2-25804820EDAC}">
              <c15:datalabelsRange>
                <c15:f>ParticipantBills!$AE$19:$AF$19</c15:f>
                <c15:dlblRangeCache>
                  <c:ptCount val="2"/>
                  <c:pt idx="1">
                    <c:v>-78%</c:v>
                  </c:pt>
                </c15:dlblRangeCache>
              </c15:datalabelsRange>
            </c:ext>
            <c:ext xmlns:c16="http://schemas.microsoft.com/office/drawing/2014/chart" uri="{C3380CC4-5D6E-409C-BE32-E72D297353CC}">
              <c16:uniqueId val="{00000002-9811-437E-A6CB-71570CA613AB}"/>
            </c:ext>
          </c:extLst>
        </c:ser>
        <c:ser>
          <c:idx val="1"/>
          <c:order val="1"/>
          <c:tx>
            <c:strRef>
              <c:f>ParticipantBills!$AD$16</c:f>
              <c:strCache>
                <c:ptCount val="1"/>
                <c:pt idx="0">
                  <c:v>Fossil Fuel Bill</c:v>
                </c:pt>
              </c:strCache>
            </c:strRef>
          </c:tx>
          <c:spPr>
            <a:solidFill>
              <a:schemeClr val="bg2">
                <a:lumMod val="25000"/>
              </a:schemeClr>
            </a:solidFill>
            <a:ln>
              <a:solidFill>
                <a:schemeClr val="bg1"/>
              </a:solidFill>
            </a:ln>
          </c:spPr>
          <c:invertIfNegative val="0"/>
          <c:dLbls>
            <c:delete val="1"/>
          </c:dLbls>
          <c:cat>
            <c:strRef>
              <c:f>ParticipantBills!$AE$14:$AF$14</c:f>
              <c:strCache>
                <c:ptCount val="2"/>
                <c:pt idx="0">
                  <c:v>Before 
CVEO</c:v>
                </c:pt>
                <c:pt idx="1">
                  <c:v>CVEO</c:v>
                </c:pt>
              </c:strCache>
            </c:strRef>
          </c:cat>
          <c:val>
            <c:numRef>
              <c:f>ParticipantBills!$AE$16:$AF$16</c:f>
              <c:numCache>
                <c:formatCode>_(* #,##0_);_(* \(#,##0\);_(* "-"??_);_(@_)</c:formatCode>
                <c:ptCount val="2"/>
                <c:pt idx="0">
                  <c:v>1571.3699276274731</c:v>
                </c:pt>
              </c:numCache>
            </c:numRef>
          </c:val>
          <c:extLst>
            <c:ext xmlns:c16="http://schemas.microsoft.com/office/drawing/2014/chart" uri="{C3380CC4-5D6E-409C-BE32-E72D297353CC}">
              <c16:uniqueId val="{00000003-9811-437E-A6CB-71570CA613AB}"/>
            </c:ext>
          </c:extLst>
        </c:ser>
        <c:dLbls>
          <c:dLblPos val="ctr"/>
          <c:showLegendKey val="0"/>
          <c:showVal val="1"/>
          <c:showCatName val="0"/>
          <c:showSerName val="0"/>
          <c:showPercent val="0"/>
          <c:showBubbleSize val="0"/>
        </c:dLbls>
        <c:gapWidth val="50"/>
        <c:overlap val="100"/>
        <c:axId val="1373557232"/>
        <c:axId val="964309776"/>
        <c:extLst/>
      </c:barChart>
      <c:catAx>
        <c:axId val="137355723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vert="horz"/>
          <a:lstStyle/>
          <a:p>
            <a:pPr>
              <a:defRPr sz="1000"/>
            </a:pPr>
            <a:endParaRPr lang="en-US"/>
          </a:p>
        </c:txPr>
        <c:crossAx val="964309776"/>
        <c:crosses val="autoZero"/>
        <c:auto val="1"/>
        <c:lblAlgn val="ctr"/>
        <c:lblOffset val="100"/>
        <c:noMultiLvlLbl val="0"/>
      </c:catAx>
      <c:valAx>
        <c:axId val="964309776"/>
        <c:scaling>
          <c:orientation val="minMax"/>
          <c:max val="8000"/>
          <c:min val="-200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Customer's Annual Costs ($)</a:t>
                </a:r>
              </a:p>
            </c:rich>
          </c:tx>
          <c:layout>
            <c:manualLayout>
              <c:xMode val="edge"/>
              <c:yMode val="edge"/>
              <c:x val="2.152735715727842E-2"/>
              <c:y val="0.14640454034154821"/>
            </c:manualLayout>
          </c:layout>
          <c:overlay val="0"/>
          <c:spPr>
            <a:noFill/>
            <a:ln>
              <a:noFill/>
            </a:ln>
            <a:effectLst/>
          </c:spPr>
        </c:title>
        <c:numFmt formatCode="_(* #,##0_);_(* \(#,##0\);_(* &quot;-&quot;??_);_(@_)" sourceLinked="1"/>
        <c:majorTickMark val="none"/>
        <c:minorTickMark val="none"/>
        <c:tickLblPos val="nextTo"/>
        <c:spPr>
          <a:noFill/>
          <a:ln>
            <a:noFill/>
          </a:ln>
          <a:effectLst/>
        </c:spPr>
        <c:txPr>
          <a:bodyPr rot="-60000000" vert="horz"/>
          <a:lstStyle/>
          <a:p>
            <a:pPr>
              <a:defRPr/>
            </a:pPr>
            <a:endParaRPr lang="en-US"/>
          </a:p>
        </c:txPr>
        <c:crossAx val="1373557232"/>
        <c:crosses val="autoZero"/>
        <c:crossBetween val="between"/>
      </c:valAx>
    </c:plotArea>
    <c:legend>
      <c:legendPos val="tr"/>
      <c:layout>
        <c:manualLayout>
          <c:xMode val="edge"/>
          <c:yMode val="edge"/>
          <c:x val="0.76650361886582363"/>
          <c:y val="0.18888888888888888"/>
          <c:w val="0.16826069089848616"/>
          <c:h val="0.21439632545931758"/>
        </c:manualLayout>
      </c:layout>
      <c:overlay val="0"/>
    </c:legend>
    <c:plotVisOnly val="1"/>
    <c:dispBlanksAs val="gap"/>
    <c:showDLblsOverMax val="0"/>
  </c:chart>
  <c:txPr>
    <a:bodyPr/>
    <a:lstStyle/>
    <a:p>
      <a:pPr>
        <a:defRPr sz="1100">
          <a:solidFill>
            <a:schemeClr val="tx1">
              <a:lumMod val="85000"/>
              <a:lumOff val="15000"/>
            </a:schemeClr>
          </a:solidFil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02745159290552"/>
          <c:y val="6.4661307580454894E-2"/>
          <c:w val="0.57483119464036825"/>
          <c:h val="0.69204505686789153"/>
        </c:manualLayout>
      </c:layout>
      <c:barChart>
        <c:barDir val="col"/>
        <c:grouping val="stacked"/>
        <c:varyColors val="0"/>
        <c:ser>
          <c:idx val="2"/>
          <c:order val="0"/>
          <c:tx>
            <c:strRef>
              <c:f>ParticipantBills!$AD$33</c:f>
              <c:strCache>
                <c:ptCount val="1"/>
                <c:pt idx="0">
                  <c:v>Electric Bill</c:v>
                </c:pt>
              </c:strCache>
            </c:strRef>
          </c:tx>
          <c:spPr>
            <a:solidFill>
              <a:schemeClr val="accent1">
                <a:lumMod val="75000"/>
              </a:schemeClr>
            </a:solidFill>
            <a:ln>
              <a:solidFill>
                <a:schemeClr val="bg1"/>
              </a:solidFill>
            </a:ln>
          </c:spPr>
          <c:invertIfNegative val="0"/>
          <c:dLbls>
            <c:dLbl>
              <c:idx val="0"/>
              <c:tx>
                <c:rich>
                  <a:bodyPr/>
                  <a:lstStyle/>
                  <a:p>
                    <a:fld id="{ED1492B6-ABAC-4DE0-881C-3536E4A2E549}"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D92-42AD-8A19-1F853378CA4A}"/>
                </c:ext>
              </c:extLst>
            </c:dLbl>
            <c:dLbl>
              <c:idx val="1"/>
              <c:tx>
                <c:rich>
                  <a:bodyPr/>
                  <a:lstStyle/>
                  <a:p>
                    <a:fld id="{6D5439DB-7A75-4F5B-99EC-26C18C23FD76}"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D92-42AD-8A19-1F853378CA4A}"/>
                </c:ext>
              </c:extLst>
            </c:dLbl>
            <c:spPr>
              <a:solidFill>
                <a:schemeClr val="accent1">
                  <a:lumMod val="75000"/>
                </a:schemeClr>
              </a:solidFill>
              <a:ln>
                <a:noFill/>
              </a:ln>
              <a:effectLst/>
            </c:spPr>
            <c:txPr>
              <a:bodyPr/>
              <a:lstStyle/>
              <a:p>
                <a:pPr>
                  <a:defRPr>
                    <a:solidFill>
                      <a:schemeClr val="bg1"/>
                    </a:solidFill>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ParticipantBills!$AE$14:$AF$14</c:f>
              <c:strCache>
                <c:ptCount val="2"/>
                <c:pt idx="0">
                  <c:v>Before 
CVEO</c:v>
                </c:pt>
                <c:pt idx="1">
                  <c:v>CVEO</c:v>
                </c:pt>
              </c:strCache>
            </c:strRef>
          </c:cat>
          <c:val>
            <c:numRef>
              <c:f>ParticipantBills!$AE$33:$AF$33</c:f>
              <c:numCache>
                <c:formatCode>_(* #,##0_);_(* \(#,##0\);_(* "-"??_);_(@_)</c:formatCode>
                <c:ptCount val="2"/>
                <c:pt idx="0">
                  <c:v>2914.7357659581048</c:v>
                </c:pt>
                <c:pt idx="1">
                  <c:v>134.08822287109791</c:v>
                </c:pt>
              </c:numCache>
            </c:numRef>
          </c:val>
          <c:extLst>
            <c:ext xmlns:c15="http://schemas.microsoft.com/office/drawing/2012/chart" uri="{02D57815-91ED-43cb-92C2-25804820EDAC}">
              <c15:datalabelsRange>
                <c15:f>ParticipantBills!$AE$37:$AF$37</c15:f>
                <c15:dlblRangeCache>
                  <c:ptCount val="2"/>
                  <c:pt idx="1">
                    <c:v>-95%</c:v>
                  </c:pt>
                </c15:dlblRangeCache>
              </c15:datalabelsRange>
            </c:ext>
            <c:ext xmlns:c16="http://schemas.microsoft.com/office/drawing/2014/chart" uri="{C3380CC4-5D6E-409C-BE32-E72D297353CC}">
              <c16:uniqueId val="{00000002-BD92-42AD-8A19-1F853378CA4A}"/>
            </c:ext>
          </c:extLst>
        </c:ser>
        <c:ser>
          <c:idx val="1"/>
          <c:order val="1"/>
          <c:tx>
            <c:strRef>
              <c:f>ParticipantBills!$AD$34</c:f>
              <c:strCache>
                <c:ptCount val="1"/>
                <c:pt idx="0">
                  <c:v>Fossil Fuel Bill</c:v>
                </c:pt>
              </c:strCache>
            </c:strRef>
          </c:tx>
          <c:spPr>
            <a:solidFill>
              <a:schemeClr val="bg2">
                <a:lumMod val="25000"/>
              </a:schemeClr>
            </a:solidFill>
            <a:ln>
              <a:solidFill>
                <a:schemeClr val="bg1"/>
              </a:solidFill>
            </a:ln>
          </c:spPr>
          <c:invertIfNegative val="0"/>
          <c:dLbls>
            <c:delete val="1"/>
          </c:dLbls>
          <c:cat>
            <c:strRef>
              <c:f>ParticipantBills!$AE$14:$AF$14</c:f>
              <c:strCache>
                <c:ptCount val="2"/>
                <c:pt idx="0">
                  <c:v>Before 
CVEO</c:v>
                </c:pt>
                <c:pt idx="1">
                  <c:v>CVEO</c:v>
                </c:pt>
              </c:strCache>
            </c:strRef>
          </c:cat>
          <c:val>
            <c:numRef>
              <c:f>ParticipantBills!$AE$34:$AF$34</c:f>
              <c:numCache>
                <c:formatCode>_(* #,##0_);_(* \(#,##0\);_(* "-"??_);_(@_)</c:formatCode>
                <c:ptCount val="2"/>
                <c:pt idx="0">
                  <c:v>0</c:v>
                </c:pt>
              </c:numCache>
            </c:numRef>
          </c:val>
          <c:extLst>
            <c:ext xmlns:c16="http://schemas.microsoft.com/office/drawing/2014/chart" uri="{C3380CC4-5D6E-409C-BE32-E72D297353CC}">
              <c16:uniqueId val="{00000003-BD92-42AD-8A19-1F853378CA4A}"/>
            </c:ext>
          </c:extLst>
        </c:ser>
        <c:dLbls>
          <c:dLblPos val="ctr"/>
          <c:showLegendKey val="0"/>
          <c:showVal val="1"/>
          <c:showCatName val="0"/>
          <c:showSerName val="0"/>
          <c:showPercent val="0"/>
          <c:showBubbleSize val="0"/>
        </c:dLbls>
        <c:gapWidth val="50"/>
        <c:overlap val="100"/>
        <c:axId val="1373557232"/>
        <c:axId val="964309776"/>
        <c:extLst/>
      </c:barChart>
      <c:catAx>
        <c:axId val="137355723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vert="horz"/>
          <a:lstStyle/>
          <a:p>
            <a:pPr>
              <a:defRPr sz="1000"/>
            </a:pPr>
            <a:endParaRPr lang="en-US"/>
          </a:p>
        </c:txPr>
        <c:crossAx val="964309776"/>
        <c:crosses val="autoZero"/>
        <c:auto val="1"/>
        <c:lblAlgn val="ctr"/>
        <c:lblOffset val="100"/>
        <c:noMultiLvlLbl val="0"/>
      </c:catAx>
      <c:valAx>
        <c:axId val="964309776"/>
        <c:scaling>
          <c:orientation val="minMax"/>
          <c:max val="8000"/>
          <c:min val="-200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Customer's Annual Costs ($)</a:t>
                </a:r>
              </a:p>
            </c:rich>
          </c:tx>
          <c:layout>
            <c:manualLayout>
              <c:xMode val="edge"/>
              <c:yMode val="edge"/>
              <c:x val="2.152735715727842E-2"/>
              <c:y val="0.14640454034154821"/>
            </c:manualLayout>
          </c:layout>
          <c:overlay val="0"/>
          <c:spPr>
            <a:noFill/>
            <a:ln>
              <a:noFill/>
            </a:ln>
            <a:effectLst/>
          </c:spPr>
        </c:title>
        <c:numFmt formatCode="_(* #,##0_);_(* \(#,##0\);_(* &quot;-&quot;??_);_(@_)" sourceLinked="1"/>
        <c:majorTickMark val="none"/>
        <c:minorTickMark val="none"/>
        <c:tickLblPos val="nextTo"/>
        <c:spPr>
          <a:noFill/>
          <a:ln>
            <a:noFill/>
          </a:ln>
          <a:effectLst/>
        </c:spPr>
        <c:txPr>
          <a:bodyPr rot="-60000000" vert="horz"/>
          <a:lstStyle/>
          <a:p>
            <a:pPr>
              <a:defRPr/>
            </a:pPr>
            <a:endParaRPr lang="en-US"/>
          </a:p>
        </c:txPr>
        <c:crossAx val="1373557232"/>
        <c:crosses val="autoZero"/>
        <c:crossBetween val="between"/>
      </c:valAx>
    </c:plotArea>
    <c:legend>
      <c:legendPos val="tr"/>
      <c:layout>
        <c:manualLayout>
          <c:xMode val="edge"/>
          <c:yMode val="edge"/>
          <c:x val="0.76650361886582363"/>
          <c:y val="0.18888888888888888"/>
          <c:w val="0.16826069089848616"/>
          <c:h val="0.21439632545931758"/>
        </c:manualLayout>
      </c:layout>
      <c:overlay val="0"/>
    </c:legend>
    <c:plotVisOnly val="1"/>
    <c:dispBlanksAs val="gap"/>
    <c:showDLblsOverMax val="0"/>
  </c:chart>
  <c:txPr>
    <a:bodyPr/>
    <a:lstStyle/>
    <a:p>
      <a:pPr>
        <a:defRPr sz="1100">
          <a:solidFill>
            <a:schemeClr val="tx1">
              <a:lumMod val="85000"/>
              <a:lumOff val="15000"/>
            </a:schemeClr>
          </a:solidFil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02745159290552"/>
          <c:y val="6.4661307580454894E-2"/>
          <c:w val="0.57483119464036825"/>
          <c:h val="0.69204505686789153"/>
        </c:manualLayout>
      </c:layout>
      <c:barChart>
        <c:barDir val="col"/>
        <c:grouping val="stacked"/>
        <c:varyColors val="0"/>
        <c:ser>
          <c:idx val="2"/>
          <c:order val="0"/>
          <c:tx>
            <c:strRef>
              <c:f>ParticipantBills!$AD$51</c:f>
              <c:strCache>
                <c:ptCount val="1"/>
                <c:pt idx="0">
                  <c:v>Electric Bill</c:v>
                </c:pt>
              </c:strCache>
            </c:strRef>
          </c:tx>
          <c:spPr>
            <a:solidFill>
              <a:schemeClr val="accent1">
                <a:lumMod val="75000"/>
              </a:schemeClr>
            </a:solidFill>
            <a:ln>
              <a:solidFill>
                <a:schemeClr val="bg1"/>
              </a:solidFill>
            </a:ln>
          </c:spPr>
          <c:invertIfNegative val="0"/>
          <c:dLbls>
            <c:dLbl>
              <c:idx val="0"/>
              <c:tx>
                <c:rich>
                  <a:bodyPr/>
                  <a:lstStyle/>
                  <a:p>
                    <a:fld id="{A56AF3FD-19EB-46D9-857B-984D1684A67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436-4351-9D41-26FD09EE77C7}"/>
                </c:ext>
              </c:extLst>
            </c:dLbl>
            <c:dLbl>
              <c:idx val="1"/>
              <c:tx>
                <c:rich>
                  <a:bodyPr/>
                  <a:lstStyle/>
                  <a:p>
                    <a:fld id="{91025C1E-A66E-4B4C-8C0D-E8F25E2D0492}" type="CELLRANGE">
                      <a:rPr lang="en-US"/>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436-4351-9D41-26FD09EE77C7}"/>
                </c:ext>
              </c:extLst>
            </c:dLbl>
            <c:spPr>
              <a:solidFill>
                <a:schemeClr val="accent1">
                  <a:lumMod val="75000"/>
                </a:schemeClr>
              </a:solidFill>
              <a:ln>
                <a:noFill/>
              </a:ln>
              <a:effectLst/>
            </c:spPr>
            <c:txPr>
              <a:bodyPr/>
              <a:lstStyle/>
              <a:p>
                <a:pPr>
                  <a:defRPr>
                    <a:solidFill>
                      <a:schemeClr val="bg1"/>
                    </a:solidFill>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ParticipantBills!$AE$14:$AF$14</c:f>
              <c:strCache>
                <c:ptCount val="2"/>
                <c:pt idx="0">
                  <c:v>Before 
CVEO</c:v>
                </c:pt>
                <c:pt idx="1">
                  <c:v>CVEO</c:v>
                </c:pt>
              </c:strCache>
            </c:strRef>
          </c:cat>
          <c:val>
            <c:numRef>
              <c:f>ParticipantBills!$AE$51:$AF$51</c:f>
              <c:numCache>
                <c:formatCode>_(* #,##0_);_(* \(#,##0\);_(* "-"??_);_(@_)</c:formatCode>
                <c:ptCount val="2"/>
                <c:pt idx="0">
                  <c:v>2402.5511799999999</c:v>
                </c:pt>
                <c:pt idx="1">
                  <c:v>2499.1033326666666</c:v>
                </c:pt>
              </c:numCache>
            </c:numRef>
          </c:val>
          <c:extLst>
            <c:ext xmlns:c15="http://schemas.microsoft.com/office/drawing/2012/chart" uri="{02D57815-91ED-43cb-92C2-25804820EDAC}">
              <c15:datalabelsRange>
                <c15:f>ParticipantBills!$AE$55:$AF$55</c15:f>
                <c15:dlblRangeCache>
                  <c:ptCount val="2"/>
                  <c:pt idx="1">
                    <c:v>-34%</c:v>
                  </c:pt>
                </c15:dlblRangeCache>
              </c15:datalabelsRange>
            </c:ext>
            <c:ext xmlns:c16="http://schemas.microsoft.com/office/drawing/2014/chart" uri="{C3380CC4-5D6E-409C-BE32-E72D297353CC}">
              <c16:uniqueId val="{00000002-3436-4351-9D41-26FD09EE77C7}"/>
            </c:ext>
          </c:extLst>
        </c:ser>
        <c:ser>
          <c:idx val="1"/>
          <c:order val="1"/>
          <c:tx>
            <c:strRef>
              <c:f>ParticipantBills!$AD$52</c:f>
              <c:strCache>
                <c:ptCount val="1"/>
                <c:pt idx="0">
                  <c:v>Fossil Fuel Bill</c:v>
                </c:pt>
              </c:strCache>
            </c:strRef>
          </c:tx>
          <c:spPr>
            <a:solidFill>
              <a:schemeClr val="bg2">
                <a:lumMod val="25000"/>
              </a:schemeClr>
            </a:solidFill>
          </c:spPr>
          <c:invertIfNegative val="0"/>
          <c:dLbls>
            <c:delete val="1"/>
          </c:dLbls>
          <c:cat>
            <c:strRef>
              <c:f>ParticipantBills!$AE$14:$AF$14</c:f>
              <c:strCache>
                <c:ptCount val="2"/>
                <c:pt idx="0">
                  <c:v>Before 
CVEO</c:v>
                </c:pt>
                <c:pt idx="1">
                  <c:v>CVEO</c:v>
                </c:pt>
              </c:strCache>
            </c:strRef>
          </c:cat>
          <c:val>
            <c:numRef>
              <c:f>ParticipantBills!$AE$52:$AF$52</c:f>
              <c:numCache>
                <c:formatCode>_(* #,##0_);_(* \(#,##0\);_(* "-"??_);_(@_)</c:formatCode>
                <c:ptCount val="2"/>
                <c:pt idx="0">
                  <c:v>1388.9072896387624</c:v>
                </c:pt>
              </c:numCache>
            </c:numRef>
          </c:val>
          <c:extLst>
            <c:ext xmlns:c16="http://schemas.microsoft.com/office/drawing/2014/chart" uri="{C3380CC4-5D6E-409C-BE32-E72D297353CC}">
              <c16:uniqueId val="{00000003-3436-4351-9D41-26FD09EE77C7}"/>
            </c:ext>
          </c:extLst>
        </c:ser>
        <c:dLbls>
          <c:dLblPos val="ctr"/>
          <c:showLegendKey val="0"/>
          <c:showVal val="1"/>
          <c:showCatName val="0"/>
          <c:showSerName val="0"/>
          <c:showPercent val="0"/>
          <c:showBubbleSize val="0"/>
        </c:dLbls>
        <c:gapWidth val="50"/>
        <c:overlap val="100"/>
        <c:axId val="1373557232"/>
        <c:axId val="964309776"/>
        <c:extLst/>
      </c:barChart>
      <c:catAx>
        <c:axId val="1373557232"/>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60000000" vert="horz"/>
          <a:lstStyle/>
          <a:p>
            <a:pPr>
              <a:defRPr sz="1000"/>
            </a:pPr>
            <a:endParaRPr lang="en-US"/>
          </a:p>
        </c:txPr>
        <c:crossAx val="964309776"/>
        <c:crosses val="autoZero"/>
        <c:auto val="1"/>
        <c:lblAlgn val="ctr"/>
        <c:lblOffset val="100"/>
        <c:noMultiLvlLbl val="0"/>
      </c:catAx>
      <c:valAx>
        <c:axId val="964309776"/>
        <c:scaling>
          <c:orientation val="minMax"/>
          <c:max val="8000"/>
          <c:min val="-200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Customer's Annual Costs ($)</a:t>
                </a:r>
              </a:p>
            </c:rich>
          </c:tx>
          <c:layout>
            <c:manualLayout>
              <c:xMode val="edge"/>
              <c:yMode val="edge"/>
              <c:x val="2.152735715727842E-2"/>
              <c:y val="0.14640454034154821"/>
            </c:manualLayout>
          </c:layout>
          <c:overlay val="0"/>
          <c:spPr>
            <a:noFill/>
            <a:ln>
              <a:noFill/>
            </a:ln>
            <a:effectLst/>
          </c:spPr>
        </c:title>
        <c:numFmt formatCode="_(* #,##0_);_(* \(#,##0\);_(* &quot;-&quot;??_);_(@_)" sourceLinked="1"/>
        <c:majorTickMark val="none"/>
        <c:minorTickMark val="none"/>
        <c:tickLblPos val="nextTo"/>
        <c:spPr>
          <a:noFill/>
          <a:ln>
            <a:noFill/>
          </a:ln>
          <a:effectLst/>
        </c:spPr>
        <c:txPr>
          <a:bodyPr rot="-60000000" vert="horz"/>
          <a:lstStyle/>
          <a:p>
            <a:pPr>
              <a:defRPr/>
            </a:pPr>
            <a:endParaRPr lang="en-US"/>
          </a:p>
        </c:txPr>
        <c:crossAx val="1373557232"/>
        <c:crosses val="autoZero"/>
        <c:crossBetween val="between"/>
      </c:valAx>
    </c:plotArea>
    <c:legend>
      <c:legendPos val="tr"/>
      <c:layout>
        <c:manualLayout>
          <c:xMode val="edge"/>
          <c:yMode val="edge"/>
          <c:x val="0.76650361886582363"/>
          <c:y val="0.18888888888888888"/>
          <c:w val="0.16826069089848616"/>
          <c:h val="0.21439632545931758"/>
        </c:manualLayout>
      </c:layout>
      <c:overlay val="0"/>
    </c:legend>
    <c:plotVisOnly val="1"/>
    <c:dispBlanksAs val="gap"/>
    <c:showDLblsOverMax val="0"/>
  </c:chart>
  <c:txPr>
    <a:bodyPr/>
    <a:lstStyle/>
    <a:p>
      <a:pPr>
        <a:defRPr sz="1100">
          <a:solidFill>
            <a:schemeClr val="tx1">
              <a:lumMod val="85000"/>
              <a:lumOff val="15000"/>
            </a:schemeClr>
          </a:solidFill>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0</xdr:colOff>
      <xdr:row>17</xdr:row>
      <xdr:rowOff>161924</xdr:rowOff>
    </xdr:from>
    <xdr:to>
      <xdr:col>5</xdr:col>
      <xdr:colOff>876300</xdr:colOff>
      <xdr:row>34</xdr:row>
      <xdr:rowOff>76199</xdr:rowOff>
    </xdr:to>
    <xdr:graphicFrame macro="">
      <xdr:nvGraphicFramePr>
        <xdr:cNvPr id="10" name="Chart 2">
          <a:extLst>
            <a:ext uri="{FF2B5EF4-FFF2-40B4-BE49-F238E27FC236}">
              <a16:creationId xmlns:a16="http://schemas.microsoft.com/office/drawing/2014/main" id="{905DDF98-6AE5-4A00-912D-939A0C2A7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36</xdr:row>
      <xdr:rowOff>0</xdr:rowOff>
    </xdr:from>
    <xdr:to>
      <xdr:col>5</xdr:col>
      <xdr:colOff>876300</xdr:colOff>
      <xdr:row>48</xdr:row>
      <xdr:rowOff>0</xdr:rowOff>
    </xdr:to>
    <xdr:graphicFrame macro="">
      <xdr:nvGraphicFramePr>
        <xdr:cNvPr id="23" name="Chart 1">
          <a:extLst>
            <a:ext uri="{FF2B5EF4-FFF2-40B4-BE49-F238E27FC236}">
              <a16:creationId xmlns:a16="http://schemas.microsoft.com/office/drawing/2014/main" id="{7D835DA8-1FAF-47E7-AFED-6D880A93E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59</xdr:row>
      <xdr:rowOff>0</xdr:rowOff>
    </xdr:from>
    <xdr:to>
      <xdr:col>26</xdr:col>
      <xdr:colOff>11430</xdr:colOff>
      <xdr:row>82</xdr:row>
      <xdr:rowOff>0</xdr:rowOff>
    </xdr:to>
    <xdr:graphicFrame macro="">
      <xdr:nvGraphicFramePr>
        <xdr:cNvPr id="10" name="Chart 2">
          <a:extLst>
            <a:ext uri="{FF2B5EF4-FFF2-40B4-BE49-F238E27FC236}">
              <a16:creationId xmlns:a16="http://schemas.microsoft.com/office/drawing/2014/main" id="{30EB6EB2-7281-4206-A76A-F61794E63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6</xdr:row>
      <xdr:rowOff>0</xdr:rowOff>
    </xdr:from>
    <xdr:to>
      <xdr:col>25</xdr:col>
      <xdr:colOff>9525</xdr:colOff>
      <xdr:row>18</xdr:row>
      <xdr:rowOff>0</xdr:rowOff>
    </xdr:to>
    <xdr:graphicFrame macro="">
      <xdr:nvGraphicFramePr>
        <xdr:cNvPr id="4" name="Chart 3">
          <a:extLst>
            <a:ext uri="{FF2B5EF4-FFF2-40B4-BE49-F238E27FC236}">
              <a16:creationId xmlns:a16="http://schemas.microsoft.com/office/drawing/2014/main" id="{8E3194EF-FBB1-47CD-812A-C40ECD5A94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24</xdr:row>
      <xdr:rowOff>0</xdr:rowOff>
    </xdr:from>
    <xdr:to>
      <xdr:col>25</xdr:col>
      <xdr:colOff>9525</xdr:colOff>
      <xdr:row>36</xdr:row>
      <xdr:rowOff>0</xdr:rowOff>
    </xdr:to>
    <xdr:graphicFrame macro="">
      <xdr:nvGraphicFramePr>
        <xdr:cNvPr id="7" name="Chart 6">
          <a:extLst>
            <a:ext uri="{FF2B5EF4-FFF2-40B4-BE49-F238E27FC236}">
              <a16:creationId xmlns:a16="http://schemas.microsoft.com/office/drawing/2014/main" id="{7078867C-8B85-4EE2-8821-10C993459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42</xdr:row>
      <xdr:rowOff>0</xdr:rowOff>
    </xdr:from>
    <xdr:to>
      <xdr:col>25</xdr:col>
      <xdr:colOff>9525</xdr:colOff>
      <xdr:row>54</xdr:row>
      <xdr:rowOff>0</xdr:rowOff>
    </xdr:to>
    <xdr:graphicFrame macro="">
      <xdr:nvGraphicFramePr>
        <xdr:cNvPr id="8" name="Chart 7">
          <a:extLst>
            <a:ext uri="{FF2B5EF4-FFF2-40B4-BE49-F238E27FC236}">
              <a16:creationId xmlns:a16="http://schemas.microsoft.com/office/drawing/2014/main" id="{E079AC1A-E73F-4AD0-8108-11FD3B12AE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0.01088</cdr:x>
      <cdr:y>0.56146</cdr:y>
    </cdr:from>
    <cdr:to>
      <cdr:x>0.97636</cdr:x>
      <cdr:y>0.56146</cdr:y>
    </cdr:to>
    <cdr:cxnSp macro="">
      <cdr:nvCxnSpPr>
        <cdr:cNvPr id="3" name="Straight Connector 2">
          <a:extLst xmlns:a="http://schemas.openxmlformats.org/drawingml/2006/main">
            <a:ext uri="{FF2B5EF4-FFF2-40B4-BE49-F238E27FC236}">
              <a16:creationId xmlns:a16="http://schemas.microsoft.com/office/drawing/2014/main" id="{13BCB12C-A45C-E7F7-8971-8A52D9718858}"/>
            </a:ext>
          </a:extLst>
        </cdr:cNvPr>
        <cdr:cNvCxnSpPr/>
      </cdr:nvCxnSpPr>
      <cdr:spPr>
        <a:xfrm xmlns:a="http://schemas.openxmlformats.org/drawingml/2006/main">
          <a:off x="66682" y="2566995"/>
          <a:ext cx="5914994" cy="0"/>
        </a:xfrm>
        <a:prstGeom xmlns:a="http://schemas.openxmlformats.org/drawingml/2006/main" prst="line">
          <a:avLst/>
        </a:prstGeom>
        <a:ln xmlns:a="http://schemas.openxmlformats.org/drawingml/2006/main" w="12700">
          <a:solidFill>
            <a:schemeClr val="accent5"/>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0.00933</cdr:x>
      <cdr:y>0.56667</cdr:y>
    </cdr:from>
    <cdr:to>
      <cdr:x>0.0653</cdr:x>
      <cdr:y>0.77917</cdr:y>
    </cdr:to>
    <cdr:sp macro="" textlink="">
      <cdr:nvSpPr>
        <cdr:cNvPr id="2" name="TextBox 1">
          <a:extLst xmlns:a="http://schemas.openxmlformats.org/drawingml/2006/main">
            <a:ext uri="{FF2B5EF4-FFF2-40B4-BE49-F238E27FC236}">
              <a16:creationId xmlns:a16="http://schemas.microsoft.com/office/drawing/2014/main" id="{3F6E0E90-A374-8B90-BE2C-D7092132996A}"/>
            </a:ext>
          </a:extLst>
        </cdr:cNvPr>
        <cdr:cNvSpPr txBox="1"/>
      </cdr:nvSpPr>
      <cdr:spPr>
        <a:xfrm xmlns:a="http://schemas.openxmlformats.org/drawingml/2006/main">
          <a:off x="57150" y="2590800"/>
          <a:ext cx="342900" cy="971550"/>
        </a:xfrm>
        <a:prstGeom xmlns:a="http://schemas.openxmlformats.org/drawingml/2006/main" prst="rect">
          <a:avLst/>
        </a:prstGeom>
      </cdr:spPr>
      <cdr:txBody>
        <a:bodyPr xmlns:a="http://schemas.openxmlformats.org/drawingml/2006/main" vertOverflow="clip" vert="vert270" wrap="square" rtlCol="0"/>
        <a:lstStyle xmlns:a="http://schemas.openxmlformats.org/drawingml/2006/main"/>
        <a:p xmlns:a="http://schemas.openxmlformats.org/drawingml/2006/main">
          <a:r>
            <a:rPr lang="en-US" sz="1100" kern="1200">
              <a:solidFill>
                <a:schemeClr val="accent5"/>
              </a:solidFill>
            </a:rPr>
            <a:t>← Residential</a:t>
          </a:r>
        </a:p>
      </cdr:txBody>
    </cdr:sp>
  </cdr:relSizeAnchor>
  <cdr:relSizeAnchor xmlns:cdr="http://schemas.openxmlformats.org/drawingml/2006/chartDrawing">
    <cdr:from>
      <cdr:x>0.00829</cdr:x>
      <cdr:y>0.27083</cdr:y>
    </cdr:from>
    <cdr:to>
      <cdr:x>0.06426</cdr:x>
      <cdr:y>0.54653</cdr:y>
    </cdr:to>
    <cdr:sp macro="" textlink="">
      <cdr:nvSpPr>
        <cdr:cNvPr id="4" name="TextBox 1">
          <a:extLst xmlns:a="http://schemas.openxmlformats.org/drawingml/2006/main">
            <a:ext uri="{FF2B5EF4-FFF2-40B4-BE49-F238E27FC236}">
              <a16:creationId xmlns:a16="http://schemas.microsoft.com/office/drawing/2014/main" id="{C6CAA33B-195A-188B-EF10-66B37273F16C}"/>
            </a:ext>
          </a:extLst>
        </cdr:cNvPr>
        <cdr:cNvSpPr txBox="1"/>
      </cdr:nvSpPr>
      <cdr:spPr>
        <a:xfrm xmlns:a="http://schemas.openxmlformats.org/drawingml/2006/main">
          <a:off x="50800" y="1238250"/>
          <a:ext cx="342899" cy="1260475"/>
        </a:xfrm>
        <a:prstGeom xmlns:a="http://schemas.openxmlformats.org/drawingml/2006/main" prst="rect">
          <a:avLst/>
        </a:prstGeom>
      </cdr:spPr>
      <cdr:txBody>
        <a:bodyPr xmlns:a="http://schemas.openxmlformats.org/drawingml/2006/main" vert="vert270"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accent5"/>
              </a:solidFill>
            </a:rPr>
            <a:t>Income Eligible →</a:t>
          </a:r>
        </a:p>
      </cdr:txBody>
    </cdr:sp>
  </cdr:relSizeAnchor>
</c:userShapes>
</file>

<file path=xl/drawings/drawing4.xml><?xml version="1.0" encoding="utf-8"?>
<c:userShapes xmlns:c="http://schemas.openxmlformats.org/drawingml/2006/chart">
  <cdr:relSizeAnchor xmlns:cdr="http://schemas.openxmlformats.org/drawingml/2006/chartDrawing">
    <cdr:from>
      <cdr:x>0.65795</cdr:x>
      <cdr:y>0.44087</cdr:y>
    </cdr:from>
    <cdr:to>
      <cdr:x>0.78173</cdr:x>
      <cdr:y>0.65145</cdr:y>
    </cdr:to>
    <cdr:sp macro="" textlink="ParticipantBills!#REF!">
      <cdr:nvSpPr>
        <cdr:cNvPr id="4" name="TextBox 3">
          <a:extLst xmlns:a="http://schemas.openxmlformats.org/drawingml/2006/main">
            <a:ext uri="{FF2B5EF4-FFF2-40B4-BE49-F238E27FC236}">
              <a16:creationId xmlns:a16="http://schemas.microsoft.com/office/drawing/2014/main" id="{2739F36B-BDDD-4A18-9EDD-04568746278A}"/>
            </a:ext>
          </a:extLst>
        </cdr:cNvPr>
        <cdr:cNvSpPr txBox="1"/>
      </cdr:nvSpPr>
      <cdr:spPr>
        <a:xfrm xmlns:a="http://schemas.openxmlformats.org/drawingml/2006/main">
          <a:off x="3935689" y="1208814"/>
          <a:ext cx="740415" cy="5773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7AD05911-EEAD-4E4B-867A-F41C3B7A6B86}" type="TxLink">
            <a:rPr lang="en-US" sz="1100" b="1" i="0" u="none" strike="noStrike">
              <a:solidFill>
                <a:schemeClr val="accent1"/>
              </a:solidFill>
              <a:latin typeface="Calibri"/>
              <a:cs typeface="Calibri"/>
            </a:rPr>
            <a:pPr/>
            <a:t> </a:t>
          </a:fld>
          <a:endParaRPr lang="en-US" sz="1400" b="1">
            <a:solidFill>
              <a:schemeClr val="accent1"/>
            </a:solidFill>
          </a:endParaRPr>
        </a:p>
      </cdr:txBody>
    </cdr:sp>
  </cdr:relSizeAnchor>
  <cdr:relSizeAnchor xmlns:cdr="http://schemas.openxmlformats.org/drawingml/2006/chartDrawing">
    <cdr:from>
      <cdr:x>0.75321</cdr:x>
      <cdr:y>0.50694</cdr:y>
    </cdr:from>
    <cdr:to>
      <cdr:x>0.98397</cdr:x>
      <cdr:y>0.70139</cdr:y>
    </cdr:to>
    <cdr:sp macro="" textlink="">
      <cdr:nvSpPr>
        <cdr:cNvPr id="2" name="TextBox 1">
          <a:extLst xmlns:a="http://schemas.openxmlformats.org/drawingml/2006/main">
            <a:ext uri="{FF2B5EF4-FFF2-40B4-BE49-F238E27FC236}">
              <a16:creationId xmlns:a16="http://schemas.microsoft.com/office/drawing/2014/main" id="{575BB96D-A927-9C31-2D68-4AD0D675C3A5}"/>
            </a:ext>
          </a:extLst>
        </cdr:cNvPr>
        <cdr:cNvSpPr txBox="1"/>
      </cdr:nvSpPr>
      <cdr:spPr>
        <a:xfrm xmlns:a="http://schemas.openxmlformats.org/drawingml/2006/main">
          <a:off x="4476750" y="1390651"/>
          <a:ext cx="1371600" cy="533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1">
              <a:solidFill>
                <a:schemeClr val="tx1">
                  <a:lumMod val="85000"/>
                  <a:lumOff val="15000"/>
                </a:schemeClr>
              </a:solidFill>
            </a:rPr>
            <a:t>%</a:t>
          </a:r>
          <a:r>
            <a:rPr lang="en-US" sz="1100" i="1" baseline="0">
              <a:solidFill>
                <a:schemeClr val="tx1">
                  <a:lumMod val="85000"/>
                  <a:lumOff val="15000"/>
                </a:schemeClr>
              </a:solidFill>
            </a:rPr>
            <a:t> indicates net </a:t>
          </a:r>
        </a:p>
        <a:p xmlns:a="http://schemas.openxmlformats.org/drawingml/2006/main">
          <a:r>
            <a:rPr lang="en-US" sz="1100" i="1" baseline="0">
              <a:solidFill>
                <a:schemeClr val="tx1">
                  <a:lumMod val="85000"/>
                  <a:lumOff val="15000"/>
                </a:schemeClr>
              </a:solidFill>
            </a:rPr>
            <a:t>cost impact</a:t>
          </a:r>
          <a:endParaRPr lang="en-US" sz="1100" i="1">
            <a:solidFill>
              <a:schemeClr val="tx1">
                <a:lumMod val="85000"/>
                <a:lumOff val="15000"/>
              </a:schemeClr>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0.65795</cdr:x>
      <cdr:y>0.44087</cdr:y>
    </cdr:from>
    <cdr:to>
      <cdr:x>0.78173</cdr:x>
      <cdr:y>0.65145</cdr:y>
    </cdr:to>
    <cdr:sp macro="" textlink="ParticipantBills!#REF!">
      <cdr:nvSpPr>
        <cdr:cNvPr id="4" name="TextBox 3">
          <a:extLst xmlns:a="http://schemas.openxmlformats.org/drawingml/2006/main">
            <a:ext uri="{FF2B5EF4-FFF2-40B4-BE49-F238E27FC236}">
              <a16:creationId xmlns:a16="http://schemas.microsoft.com/office/drawing/2014/main" id="{2739F36B-BDDD-4A18-9EDD-04568746278A}"/>
            </a:ext>
          </a:extLst>
        </cdr:cNvPr>
        <cdr:cNvSpPr txBox="1"/>
      </cdr:nvSpPr>
      <cdr:spPr>
        <a:xfrm xmlns:a="http://schemas.openxmlformats.org/drawingml/2006/main">
          <a:off x="3935689" y="1208814"/>
          <a:ext cx="740415" cy="5773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7AD05911-EEAD-4E4B-867A-F41C3B7A6B86}" type="TxLink">
            <a:rPr lang="en-US" sz="1100" b="1" i="0" u="none" strike="noStrike">
              <a:solidFill>
                <a:schemeClr val="accent1"/>
              </a:solidFill>
              <a:latin typeface="Calibri"/>
              <a:cs typeface="Calibri"/>
            </a:rPr>
            <a:pPr/>
            <a:t> </a:t>
          </a:fld>
          <a:endParaRPr lang="en-US" sz="1400" b="1">
            <a:solidFill>
              <a:schemeClr val="accent1"/>
            </a:solidFill>
          </a:endParaRPr>
        </a:p>
      </cdr:txBody>
    </cdr:sp>
  </cdr:relSizeAnchor>
  <cdr:relSizeAnchor xmlns:cdr="http://schemas.openxmlformats.org/drawingml/2006/chartDrawing">
    <cdr:from>
      <cdr:x>0.75321</cdr:x>
      <cdr:y>0.50694</cdr:y>
    </cdr:from>
    <cdr:to>
      <cdr:x>0.98397</cdr:x>
      <cdr:y>0.70139</cdr:y>
    </cdr:to>
    <cdr:sp macro="" textlink="">
      <cdr:nvSpPr>
        <cdr:cNvPr id="2" name="TextBox 1">
          <a:extLst xmlns:a="http://schemas.openxmlformats.org/drawingml/2006/main">
            <a:ext uri="{FF2B5EF4-FFF2-40B4-BE49-F238E27FC236}">
              <a16:creationId xmlns:a16="http://schemas.microsoft.com/office/drawing/2014/main" id="{575BB96D-A927-9C31-2D68-4AD0D675C3A5}"/>
            </a:ext>
          </a:extLst>
        </cdr:cNvPr>
        <cdr:cNvSpPr txBox="1"/>
      </cdr:nvSpPr>
      <cdr:spPr>
        <a:xfrm xmlns:a="http://schemas.openxmlformats.org/drawingml/2006/main">
          <a:off x="4476750" y="1390651"/>
          <a:ext cx="1371600" cy="533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1">
              <a:solidFill>
                <a:schemeClr val="tx1">
                  <a:lumMod val="85000"/>
                  <a:lumOff val="15000"/>
                </a:schemeClr>
              </a:solidFill>
            </a:rPr>
            <a:t>%</a:t>
          </a:r>
          <a:r>
            <a:rPr lang="en-US" sz="1100" i="1" baseline="0">
              <a:solidFill>
                <a:schemeClr val="tx1">
                  <a:lumMod val="85000"/>
                  <a:lumOff val="15000"/>
                </a:schemeClr>
              </a:solidFill>
            </a:rPr>
            <a:t> indicates net </a:t>
          </a:r>
        </a:p>
        <a:p xmlns:a="http://schemas.openxmlformats.org/drawingml/2006/main">
          <a:r>
            <a:rPr lang="en-US" sz="1100" i="1" baseline="0">
              <a:solidFill>
                <a:schemeClr val="tx1">
                  <a:lumMod val="85000"/>
                  <a:lumOff val="15000"/>
                </a:schemeClr>
              </a:solidFill>
            </a:rPr>
            <a:t>cost impact</a:t>
          </a:r>
          <a:endParaRPr lang="en-US" sz="1100" i="1">
            <a:solidFill>
              <a:schemeClr val="tx1">
                <a:lumMod val="85000"/>
                <a:lumOff val="15000"/>
              </a:schemeClr>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0.65795</cdr:x>
      <cdr:y>0.44087</cdr:y>
    </cdr:from>
    <cdr:to>
      <cdr:x>0.78173</cdr:x>
      <cdr:y>0.65145</cdr:y>
    </cdr:to>
    <cdr:sp macro="" textlink="ParticipantBills!#REF!">
      <cdr:nvSpPr>
        <cdr:cNvPr id="4" name="TextBox 3">
          <a:extLst xmlns:a="http://schemas.openxmlformats.org/drawingml/2006/main">
            <a:ext uri="{FF2B5EF4-FFF2-40B4-BE49-F238E27FC236}">
              <a16:creationId xmlns:a16="http://schemas.microsoft.com/office/drawing/2014/main" id="{2739F36B-BDDD-4A18-9EDD-04568746278A}"/>
            </a:ext>
          </a:extLst>
        </cdr:cNvPr>
        <cdr:cNvSpPr txBox="1"/>
      </cdr:nvSpPr>
      <cdr:spPr>
        <a:xfrm xmlns:a="http://schemas.openxmlformats.org/drawingml/2006/main">
          <a:off x="3935689" y="1208814"/>
          <a:ext cx="740415" cy="5773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7AD05911-EEAD-4E4B-867A-F41C3B7A6B86}" type="TxLink">
            <a:rPr lang="en-US" sz="1100" b="1" i="0" u="none" strike="noStrike">
              <a:solidFill>
                <a:schemeClr val="accent1"/>
              </a:solidFill>
              <a:latin typeface="Calibri"/>
              <a:cs typeface="Calibri"/>
            </a:rPr>
            <a:pPr/>
            <a:t> </a:t>
          </a:fld>
          <a:endParaRPr lang="en-US" sz="1400" b="1">
            <a:solidFill>
              <a:schemeClr val="accent1"/>
            </a:solidFill>
          </a:endParaRPr>
        </a:p>
      </cdr:txBody>
    </cdr:sp>
  </cdr:relSizeAnchor>
  <cdr:relSizeAnchor xmlns:cdr="http://schemas.openxmlformats.org/drawingml/2006/chartDrawing">
    <cdr:from>
      <cdr:x>0.75321</cdr:x>
      <cdr:y>0.50694</cdr:y>
    </cdr:from>
    <cdr:to>
      <cdr:x>0.98397</cdr:x>
      <cdr:y>0.70139</cdr:y>
    </cdr:to>
    <cdr:sp macro="" textlink="">
      <cdr:nvSpPr>
        <cdr:cNvPr id="2" name="TextBox 1">
          <a:extLst xmlns:a="http://schemas.openxmlformats.org/drawingml/2006/main">
            <a:ext uri="{FF2B5EF4-FFF2-40B4-BE49-F238E27FC236}">
              <a16:creationId xmlns:a16="http://schemas.microsoft.com/office/drawing/2014/main" id="{575BB96D-A927-9C31-2D68-4AD0D675C3A5}"/>
            </a:ext>
          </a:extLst>
        </cdr:cNvPr>
        <cdr:cNvSpPr txBox="1"/>
      </cdr:nvSpPr>
      <cdr:spPr>
        <a:xfrm xmlns:a="http://schemas.openxmlformats.org/drawingml/2006/main">
          <a:off x="4476750" y="1390651"/>
          <a:ext cx="1371600" cy="533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i="1">
              <a:solidFill>
                <a:schemeClr val="tx1">
                  <a:lumMod val="85000"/>
                  <a:lumOff val="15000"/>
                </a:schemeClr>
              </a:solidFill>
            </a:rPr>
            <a:t>%</a:t>
          </a:r>
          <a:r>
            <a:rPr lang="en-US" sz="1100" i="1" baseline="0">
              <a:solidFill>
                <a:schemeClr val="tx1">
                  <a:lumMod val="85000"/>
                  <a:lumOff val="15000"/>
                </a:schemeClr>
              </a:solidFill>
            </a:rPr>
            <a:t> indicates net </a:t>
          </a:r>
        </a:p>
        <a:p xmlns:a="http://schemas.openxmlformats.org/drawingml/2006/main">
          <a:r>
            <a:rPr lang="en-US" sz="1100" i="1" baseline="0">
              <a:solidFill>
                <a:schemeClr val="tx1">
                  <a:lumMod val="85000"/>
                  <a:lumOff val="15000"/>
                </a:schemeClr>
              </a:solidFill>
            </a:rPr>
            <a:t>cost impact</a:t>
          </a:r>
          <a:endParaRPr lang="en-US" sz="1100" i="1">
            <a:solidFill>
              <a:schemeClr val="tx1">
                <a:lumMod val="85000"/>
                <a:lumOff val="15000"/>
              </a:schemeClr>
            </a:solidFill>
          </a:endParaRP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mass.gov/info-details/qualifying-facilities-and-on-site-generating-facilities"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iso-ne.com/isoexpress/web/reports/load-and-demand/-/tree/monthly-wholesale-load-cost-repor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2489-70E5-40B2-AC87-D8A90AF59438}">
  <sheetPr codeName="Sheet1">
    <tabColor theme="9"/>
  </sheetPr>
  <dimension ref="B1:H29"/>
  <sheetViews>
    <sheetView showGridLines="0" tabSelected="1" zoomScale="85" zoomScaleNormal="85" workbookViewId="0"/>
  </sheetViews>
  <sheetFormatPr defaultColWidth="8.85546875" defaultRowHeight="15" x14ac:dyDescent="0.25"/>
  <cols>
    <col min="1" max="2" width="2.7109375" customWidth="1"/>
    <col min="3" max="3" width="17.140625" customWidth="1"/>
    <col min="4" max="4" width="115.85546875" bestFit="1" customWidth="1"/>
    <col min="5" max="5" width="2.7109375" customWidth="1"/>
  </cols>
  <sheetData>
    <row r="1" spans="2:5" x14ac:dyDescent="0.25">
      <c r="D1" s="4"/>
    </row>
    <row r="2" spans="2:5" ht="21" x14ac:dyDescent="0.35">
      <c r="B2" s="261" t="s">
        <v>0</v>
      </c>
      <c r="D2" s="4"/>
    </row>
    <row r="3" spans="2:5" ht="18.75" x14ac:dyDescent="0.3">
      <c r="B3" s="5" t="s">
        <v>320</v>
      </c>
    </row>
    <row r="4" spans="2:5" x14ac:dyDescent="0.25">
      <c r="B4" t="s">
        <v>1</v>
      </c>
    </row>
    <row r="6" spans="2:5" ht="15.75" x14ac:dyDescent="0.25">
      <c r="B6" s="27" t="s">
        <v>2</v>
      </c>
    </row>
    <row r="7" spans="2:5" x14ac:dyDescent="0.25">
      <c r="C7" s="328" t="s">
        <v>3</v>
      </c>
      <c r="D7" s="328" t="s">
        <v>4</v>
      </c>
      <c r="E7" s="8"/>
    </row>
    <row r="8" spans="2:5" x14ac:dyDescent="0.25">
      <c r="C8" s="47" t="s">
        <v>519</v>
      </c>
      <c r="D8" s="46" t="s">
        <v>566</v>
      </c>
    </row>
    <row r="9" spans="2:5" x14ac:dyDescent="0.25">
      <c r="C9" s="47" t="s">
        <v>5</v>
      </c>
      <c r="D9" s="46" t="s">
        <v>6</v>
      </c>
    </row>
    <row r="10" spans="2:5" x14ac:dyDescent="0.25">
      <c r="C10" s="201" t="s">
        <v>4</v>
      </c>
      <c r="D10" s="46" t="s">
        <v>335</v>
      </c>
    </row>
    <row r="11" spans="2:5" x14ac:dyDescent="0.25">
      <c r="C11" s="201" t="s">
        <v>7</v>
      </c>
      <c r="D11" s="46" t="s">
        <v>8</v>
      </c>
    </row>
    <row r="12" spans="2:5" x14ac:dyDescent="0.25">
      <c r="C12" s="201" t="s">
        <v>567</v>
      </c>
      <c r="D12" s="46" t="s">
        <v>568</v>
      </c>
    </row>
    <row r="13" spans="2:5" x14ac:dyDescent="0.25">
      <c r="C13" s="201" t="s">
        <v>689</v>
      </c>
      <c r="D13" s="46" t="s">
        <v>766</v>
      </c>
    </row>
    <row r="14" spans="2:5" ht="13.5" customHeight="1" x14ac:dyDescent="0.25">
      <c r="C14" s="201" t="s">
        <v>690</v>
      </c>
      <c r="D14" s="46" t="s">
        <v>761</v>
      </c>
    </row>
    <row r="15" spans="2:5" x14ac:dyDescent="0.25">
      <c r="C15" s="201" t="s">
        <v>691</v>
      </c>
      <c r="D15" s="46" t="s">
        <v>760</v>
      </c>
    </row>
    <row r="16" spans="2:5" x14ac:dyDescent="0.25">
      <c r="C16" s="201" t="s">
        <v>327</v>
      </c>
      <c r="D16" s="46" t="s">
        <v>9</v>
      </c>
    </row>
    <row r="17" spans="3:8" x14ac:dyDescent="0.25">
      <c r="C17" s="201" t="s">
        <v>55</v>
      </c>
      <c r="D17" s="46" t="s">
        <v>767</v>
      </c>
    </row>
    <row r="18" spans="3:8" x14ac:dyDescent="0.25">
      <c r="C18" s="198" t="s">
        <v>10</v>
      </c>
      <c r="D18" s="46" t="s">
        <v>11</v>
      </c>
    </row>
    <row r="19" spans="3:8" x14ac:dyDescent="0.25">
      <c r="C19" s="198" t="s">
        <v>12</v>
      </c>
      <c r="D19" s="46" t="s">
        <v>13</v>
      </c>
    </row>
    <row r="20" spans="3:8" x14ac:dyDescent="0.25">
      <c r="C20" s="200" t="s">
        <v>14</v>
      </c>
      <c r="D20" s="46" t="s">
        <v>768</v>
      </c>
    </row>
    <row r="21" spans="3:8" x14ac:dyDescent="0.25">
      <c r="C21" s="200" t="s">
        <v>15</v>
      </c>
      <c r="D21" s="46" t="s">
        <v>16</v>
      </c>
      <c r="E21" s="4"/>
    </row>
    <row r="22" spans="3:8" x14ac:dyDescent="0.25">
      <c r="C22" s="200" t="s">
        <v>349</v>
      </c>
      <c r="D22" s="46" t="s">
        <v>769</v>
      </c>
      <c r="E22" s="4"/>
    </row>
    <row r="23" spans="3:8" x14ac:dyDescent="0.25">
      <c r="C23" s="200" t="s">
        <v>17</v>
      </c>
      <c r="D23" s="46" t="s">
        <v>770</v>
      </c>
    </row>
    <row r="24" spans="3:8" x14ac:dyDescent="0.25">
      <c r="C24" s="199" t="s">
        <v>24</v>
      </c>
      <c r="D24" s="46" t="s">
        <v>25</v>
      </c>
      <c r="E24" s="4"/>
    </row>
    <row r="25" spans="3:8" x14ac:dyDescent="0.25">
      <c r="C25" s="199" t="s">
        <v>22</v>
      </c>
      <c r="D25" s="46" t="s">
        <v>23</v>
      </c>
      <c r="E25" s="4"/>
    </row>
    <row r="26" spans="3:8" x14ac:dyDescent="0.25">
      <c r="C26" s="199" t="s">
        <v>18</v>
      </c>
      <c r="D26" s="46" t="s">
        <v>19</v>
      </c>
      <c r="E26" s="4"/>
    </row>
    <row r="27" spans="3:8" x14ac:dyDescent="0.25">
      <c r="C27" s="199" t="s">
        <v>20</v>
      </c>
      <c r="D27" s="46" t="s">
        <v>21</v>
      </c>
    </row>
    <row r="28" spans="3:8" x14ac:dyDescent="0.25">
      <c r="C28" s="202" t="s">
        <v>26</v>
      </c>
      <c r="D28" s="46" t="s">
        <v>771</v>
      </c>
      <c r="H28" t="s">
        <v>27</v>
      </c>
    </row>
    <row r="29" spans="3:8" x14ac:dyDescent="0.25">
      <c r="C29" s="202" t="s">
        <v>28</v>
      </c>
      <c r="D29" s="46" t="s">
        <v>29</v>
      </c>
    </row>
  </sheetData>
  <pageMargins left="0.7" right="0.7" top="0.75" bottom="0.75" header="0.3" footer="0.3"/>
  <pageSetup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E90E4-770B-427C-8B18-F93603E3A534}">
  <sheetPr codeName="Sheet9">
    <tabColor rgb="FFFFC000"/>
  </sheetPr>
  <dimension ref="A1:AM75"/>
  <sheetViews>
    <sheetView showGridLines="0" zoomScale="85" zoomScaleNormal="85" zoomScaleSheetLayoutView="55" workbookViewId="0"/>
  </sheetViews>
  <sheetFormatPr defaultColWidth="9.140625" defaultRowHeight="15" x14ac:dyDescent="0.25"/>
  <cols>
    <col min="1" max="2" width="2.7109375" style="28" customWidth="1"/>
    <col min="3" max="3" width="20.5703125" style="28" customWidth="1"/>
    <col min="4" max="4" width="11.42578125" style="28" customWidth="1"/>
    <col min="5" max="29" width="2.7109375" style="28" customWidth="1"/>
    <col min="30" max="30" width="28.140625" style="30" bestFit="1" customWidth="1"/>
    <col min="31" max="31" width="16.42578125" style="30" customWidth="1"/>
    <col min="32" max="32" width="16.42578125" style="28" customWidth="1"/>
    <col min="33" max="33" width="13.5703125" style="28" bestFit="1" customWidth="1"/>
    <col min="34" max="34" width="13.28515625" style="28" bestFit="1" customWidth="1"/>
    <col min="35" max="35" width="12.5703125" style="28" bestFit="1" customWidth="1"/>
    <col min="36" max="36" width="9.5703125" style="28" bestFit="1" customWidth="1"/>
    <col min="37" max="37" width="9.140625" style="28"/>
    <col min="38" max="38" width="2.7109375" style="28" customWidth="1"/>
    <col min="39" max="16384" width="9.140625" style="28"/>
  </cols>
  <sheetData>
    <row r="1" spans="1:39" x14ac:dyDescent="0.25">
      <c r="J1" s="29"/>
      <c r="AD1" s="29"/>
    </row>
    <row r="2" spans="1:39" customFormat="1" ht="21" x14ac:dyDescent="0.35">
      <c r="B2" s="261" t="s">
        <v>0</v>
      </c>
      <c r="D2" s="4"/>
      <c r="J2" s="29"/>
    </row>
    <row r="3" spans="1:39" ht="21" x14ac:dyDescent="0.35">
      <c r="B3" s="203" t="s">
        <v>772</v>
      </c>
      <c r="J3" s="29"/>
      <c r="AD3" s="29"/>
    </row>
    <row r="4" spans="1:39" x14ac:dyDescent="0.25">
      <c r="A4" s="268"/>
      <c r="B4" s="268"/>
      <c r="C4" s="268"/>
      <c r="D4" s="268"/>
      <c r="E4" s="268"/>
      <c r="F4" s="268"/>
      <c r="G4" s="268"/>
      <c r="H4" s="268"/>
      <c r="I4" s="268"/>
      <c r="K4" s="268"/>
      <c r="L4" s="268"/>
      <c r="M4" s="268"/>
      <c r="N4" s="268"/>
      <c r="O4" s="268"/>
      <c r="P4" s="268"/>
      <c r="Q4" s="268"/>
      <c r="R4" s="268"/>
      <c r="S4" s="268"/>
      <c r="T4" s="268"/>
      <c r="U4" s="268"/>
      <c r="V4" s="268"/>
      <c r="W4" s="268"/>
      <c r="X4" s="268"/>
      <c r="Y4" s="268"/>
      <c r="Z4" s="268"/>
      <c r="AA4" s="268"/>
      <c r="AB4" s="268"/>
      <c r="AC4" s="268"/>
      <c r="AF4" s="268"/>
    </row>
    <row r="5" spans="1:39" s="366" customFormat="1" ht="15.75" x14ac:dyDescent="0.25">
      <c r="C5" s="364" t="s">
        <v>724</v>
      </c>
      <c r="D5" s="365"/>
      <c r="E5" s="365"/>
      <c r="F5" s="365"/>
      <c r="G5" s="365"/>
      <c r="H5" s="365"/>
      <c r="I5" s="365"/>
      <c r="J5" s="365"/>
      <c r="K5" s="365"/>
      <c r="L5" s="365"/>
      <c r="M5" s="365"/>
      <c r="N5" s="365"/>
      <c r="O5" s="365"/>
      <c r="P5" s="365"/>
      <c r="Q5" s="365"/>
      <c r="R5" s="365"/>
      <c r="S5" s="365"/>
      <c r="T5" s="365"/>
      <c r="U5" s="365"/>
      <c r="V5" s="365"/>
      <c r="W5" s="365"/>
      <c r="X5" s="365"/>
      <c r="Y5" s="365"/>
      <c r="AD5" s="337" t="s">
        <v>714</v>
      </c>
      <c r="AE5" s="830"/>
      <c r="AF5" s="28"/>
      <c r="AK5" s="28"/>
      <c r="AL5" s="28"/>
      <c r="AM5" s="28"/>
    </row>
    <row r="6" spans="1:39" ht="15.75" x14ac:dyDescent="0.25">
      <c r="C6" s="364" t="str">
        <f>""&amp;AE7&amp;" customer heating with "&amp;AE8&amp;" before CVEO participation"</f>
        <v>Income Eligible customer heating with Propane before CVEO participation</v>
      </c>
      <c r="D6" s="365"/>
      <c r="E6" s="365"/>
      <c r="F6" s="365"/>
      <c r="G6" s="365"/>
      <c r="H6" s="365"/>
      <c r="I6" s="365"/>
      <c r="J6" s="365"/>
      <c r="K6" s="365"/>
      <c r="L6" s="365"/>
      <c r="M6" s="365"/>
      <c r="N6" s="365"/>
      <c r="O6" s="365"/>
      <c r="P6" s="365"/>
      <c r="Q6" s="365"/>
      <c r="R6" s="365"/>
      <c r="S6" s="365"/>
      <c r="T6" s="365"/>
      <c r="U6" s="365"/>
      <c r="V6" s="365"/>
      <c r="W6" s="365"/>
      <c r="X6" s="365"/>
      <c r="Y6" s="365"/>
      <c r="AD6" s="207" t="s">
        <v>710</v>
      </c>
      <c r="AE6" s="831">
        <f>INDEX(Annual!$AB$9:$AB$22,MATCH(AE$11,Annual!$F$9:$F$22,0))</f>
        <v>0.78134330449389933</v>
      </c>
    </row>
    <row r="7" spans="1:39" x14ac:dyDescent="0.25">
      <c r="AD7" s="207" t="s">
        <v>330</v>
      </c>
      <c r="AE7" s="832" t="str">
        <f>INDEX(Annual!$B$9:$B$22,MATCH(AE$11,Annual!$F$9:$F$22,0))</f>
        <v>Income Eligible</v>
      </c>
    </row>
    <row r="8" spans="1:39" x14ac:dyDescent="0.25">
      <c r="AD8" s="207" t="s">
        <v>712</v>
      </c>
      <c r="AE8" s="832" t="str">
        <f>INDEX(Annual!$C$9:$C$22,MATCH(AE$11,Annual!$F$9:$F$22,0))</f>
        <v>Propane</v>
      </c>
    </row>
    <row r="9" spans="1:39" x14ac:dyDescent="0.25">
      <c r="AD9" s="207" t="s">
        <v>711</v>
      </c>
      <c r="AE9" s="832" t="str">
        <f>INDEX(Annual!$D$9:$D$22,MATCH(AE$11,Annual!$F$9:$F$22,0))</f>
        <v>Ductless</v>
      </c>
    </row>
    <row r="10" spans="1:39" x14ac:dyDescent="0.25">
      <c r="AD10" s="207" t="s">
        <v>551</v>
      </c>
      <c r="AE10" s="832" t="str">
        <f>INDEX(Annual!$E$9:$E$22,MATCH(AE$11,Annual!$F$9:$F$22,0))</f>
        <v>No</v>
      </c>
    </row>
    <row r="11" spans="1:39" x14ac:dyDescent="0.25">
      <c r="AD11" s="833" t="s">
        <v>713</v>
      </c>
      <c r="AE11" s="594">
        <f>MAX(Annual!F9:F22)</f>
        <v>12</v>
      </c>
    </row>
    <row r="12" spans="1:39" x14ac:dyDescent="0.25">
      <c r="AD12" s="827" t="s">
        <v>155</v>
      </c>
      <c r="AE12" s="206" t="str">
        <f>AE7&amp;AE8&amp;AE9</f>
        <v>Income EligiblePropaneDuctless</v>
      </c>
    </row>
    <row r="13" spans="1:39" x14ac:dyDescent="0.25">
      <c r="AE13" s="826"/>
    </row>
    <row r="14" spans="1:39" x14ac:dyDescent="0.25">
      <c r="AD14" s="224" t="s">
        <v>715</v>
      </c>
      <c r="AE14" s="828" t="s">
        <v>132</v>
      </c>
      <c r="AF14" s="829" t="s">
        <v>242</v>
      </c>
    </row>
    <row r="15" spans="1:39" ht="15" customHeight="1" x14ac:dyDescent="0.25">
      <c r="AD15" s="207" t="s">
        <v>88</v>
      </c>
      <c r="AE15" s="208">
        <f>INDEX(Annual!$S$9:$S$22,MATCH($AE$12,Annual!$AC$9:$AC$22,0))</f>
        <v>1267.3777084000003</v>
      </c>
      <c r="AF15" s="918">
        <f>INDEX(Annual!$Z$9:$Z$22,MATCH($AE$12,Annual!$AC$9:$AC$22,0))</f>
        <v>620.71117746952211</v>
      </c>
      <c r="AI15" s="30"/>
    </row>
    <row r="16" spans="1:39" x14ac:dyDescent="0.25">
      <c r="AD16" s="207" t="s">
        <v>133</v>
      </c>
      <c r="AE16" s="208">
        <f>INDEX(Annual!$K$9:$K$22,MATCH($AE$12,Annual!$AC$9:$AC$22,0))</f>
        <v>1571.3699276274731</v>
      </c>
      <c r="AF16" s="330"/>
    </row>
    <row r="17" spans="3:34" x14ac:dyDescent="0.25">
      <c r="AD17" s="224" t="s">
        <v>134</v>
      </c>
      <c r="AE17" s="225">
        <f>SUM(AE15:AE16)</f>
        <v>2838.7476360274732</v>
      </c>
      <c r="AF17" s="331">
        <f>SUM(AF15:AF16)</f>
        <v>620.71117746952211</v>
      </c>
    </row>
    <row r="18" spans="3:34" ht="15" customHeight="1" x14ac:dyDescent="0.25">
      <c r="AD18" s="228" t="s">
        <v>135</v>
      </c>
      <c r="AE18" s="332"/>
      <c r="AF18" s="333">
        <f>AF17-$AE$17</f>
        <v>-2218.0364585579509</v>
      </c>
    </row>
    <row r="19" spans="3:34" x14ac:dyDescent="0.25">
      <c r="AD19" s="229" t="s">
        <v>120</v>
      </c>
      <c r="AE19" s="334"/>
      <c r="AF19" s="335">
        <f>AF17/$AE17-1</f>
        <v>-0.78134330449389933</v>
      </c>
    </row>
    <row r="20" spans="3:34" x14ac:dyDescent="0.25">
      <c r="U20" s="29"/>
      <c r="AD20" s="28"/>
      <c r="AE20" s="28"/>
    </row>
    <row r="21" spans="3:34" x14ac:dyDescent="0.25">
      <c r="U21" s="29"/>
    </row>
    <row r="22" spans="3:34" x14ac:dyDescent="0.25">
      <c r="U22" s="29"/>
    </row>
    <row r="23" spans="3:34" ht="15.75" x14ac:dyDescent="0.25">
      <c r="C23" s="364" t="s">
        <v>725</v>
      </c>
      <c r="D23" s="365"/>
      <c r="E23" s="365"/>
      <c r="F23" s="365"/>
      <c r="G23" s="365"/>
      <c r="H23" s="365"/>
      <c r="I23" s="365"/>
      <c r="J23" s="365"/>
      <c r="K23" s="365"/>
      <c r="L23" s="365"/>
      <c r="M23" s="365"/>
      <c r="N23" s="365"/>
      <c r="O23" s="365"/>
      <c r="P23" s="365"/>
      <c r="Q23" s="365"/>
      <c r="R23" s="365"/>
      <c r="S23" s="365"/>
      <c r="T23" s="365"/>
      <c r="U23" s="365"/>
      <c r="V23" s="365"/>
      <c r="W23" s="365"/>
      <c r="X23" s="365"/>
      <c r="Y23" s="365"/>
      <c r="Z23" s="366"/>
      <c r="AD23" s="337" t="s">
        <v>726</v>
      </c>
      <c r="AE23" s="830"/>
      <c r="AG23" s="30"/>
      <c r="AH23" s="30"/>
    </row>
    <row r="24" spans="3:34" ht="15.75" x14ac:dyDescent="0.25">
      <c r="C24" s="364" t="str">
        <f>""&amp;AE25&amp;" customer heating with "&amp;AE26&amp;" before CVEO participation"</f>
        <v>Income Eligible customer heating with Electric before CVEO participation</v>
      </c>
      <c r="D24" s="365"/>
      <c r="E24" s="365"/>
      <c r="F24" s="365"/>
      <c r="G24" s="365"/>
      <c r="H24" s="365"/>
      <c r="I24" s="365"/>
      <c r="J24" s="365"/>
      <c r="K24" s="365"/>
      <c r="L24" s="365"/>
      <c r="M24" s="365"/>
      <c r="N24" s="365"/>
      <c r="O24" s="365"/>
      <c r="P24" s="365"/>
      <c r="Q24" s="365"/>
      <c r="R24" s="365"/>
      <c r="S24" s="365"/>
      <c r="T24" s="365"/>
      <c r="U24" s="365"/>
      <c r="V24" s="365"/>
      <c r="W24" s="365"/>
      <c r="X24" s="365"/>
      <c r="Y24" s="365"/>
      <c r="AD24" s="877" t="s">
        <v>710</v>
      </c>
      <c r="AE24" s="878">
        <f>_xlfn.MAXIFS(Annual!$AB$9:$AB$22,Annual!$E$9:$E$22,"No")</f>
        <v>0.95399643959595026</v>
      </c>
      <c r="AG24" s="30"/>
      <c r="AH24" s="30"/>
    </row>
    <row r="25" spans="3:34" x14ac:dyDescent="0.25">
      <c r="AD25" s="207" t="s">
        <v>330</v>
      </c>
      <c r="AE25" s="832" t="str">
        <f>INDEX(Annual!$B$9:$B$22,MATCH(AE$24,Annual!$AB$9:$AB$22,0))</f>
        <v>Income Eligible</v>
      </c>
    </row>
    <row r="26" spans="3:34" x14ac:dyDescent="0.25">
      <c r="AD26" s="207" t="s">
        <v>712</v>
      </c>
      <c r="AE26" s="832" t="str">
        <f>INDEX(Annual!$C$9:$C$22,MATCH(AE$24,Annual!$AB$9:$AB$22,0))</f>
        <v>Electric</v>
      </c>
    </row>
    <row r="27" spans="3:34" x14ac:dyDescent="0.25">
      <c r="AD27" s="207" t="s">
        <v>711</v>
      </c>
      <c r="AE27" s="832" t="str">
        <f>INDEX(Annual!$D$9:$D$22,MATCH(AE$24,Annual!$AB$9:$AB$22,0))</f>
        <v>Ductless</v>
      </c>
    </row>
    <row r="28" spans="3:34" x14ac:dyDescent="0.25">
      <c r="AD28" s="207" t="s">
        <v>551</v>
      </c>
      <c r="AE28" s="832" t="str">
        <f>INDEX(Annual!$E$9:$E$22,MATCH(AE$24,Annual!$AB$9:$AB$22,0))</f>
        <v>No</v>
      </c>
    </row>
    <row r="29" spans="3:34" x14ac:dyDescent="0.25">
      <c r="AD29" s="833" t="s">
        <v>713</v>
      </c>
      <c r="AE29" s="594">
        <f>INDEX(Annual!$F$9:$F$22,MATCH(AE$24,Annual!$AB$9:$AB$22,0))</f>
        <v>1</v>
      </c>
    </row>
    <row r="30" spans="3:34" x14ac:dyDescent="0.25">
      <c r="AD30" s="827" t="s">
        <v>155</v>
      </c>
      <c r="AE30" s="206" t="str">
        <f>AE25&amp;AE26&amp;AE27</f>
        <v>Income EligibleElectricDuctless</v>
      </c>
    </row>
    <row r="32" spans="3:34" x14ac:dyDescent="0.25">
      <c r="AD32" s="224" t="s">
        <v>715</v>
      </c>
      <c r="AE32" s="828" t="s">
        <v>132</v>
      </c>
      <c r="AF32" s="829" t="s">
        <v>242</v>
      </c>
    </row>
    <row r="33" spans="3:32" x14ac:dyDescent="0.25">
      <c r="AD33" s="207" t="s">
        <v>88</v>
      </c>
      <c r="AE33" s="208">
        <f>INDEX(Annual!$S$9:$S$22,MATCH($AE$30,Annual!$AC$9:$AC$22,0))</f>
        <v>2914.7357659581048</v>
      </c>
      <c r="AF33" s="336">
        <f>INDEX(Annual!$Z$9:$Z$22,MATCH($AE$30,Annual!$AC$9:$AC$22,0))</f>
        <v>134.08822287109791</v>
      </c>
    </row>
    <row r="34" spans="3:32" x14ac:dyDescent="0.25">
      <c r="AD34" s="207" t="s">
        <v>133</v>
      </c>
      <c r="AE34" s="208">
        <f>INDEX(Annual!$K$9:$K$22,MATCH($AE$30,Annual!$AC$9:$AC$22,0))</f>
        <v>0</v>
      </c>
      <c r="AF34" s="330"/>
    </row>
    <row r="35" spans="3:32" x14ac:dyDescent="0.25">
      <c r="AD35" s="224" t="s">
        <v>134</v>
      </c>
      <c r="AE35" s="225">
        <f>SUM(AE33:AE34)</f>
        <v>2914.7357659581048</v>
      </c>
      <c r="AF35" s="331">
        <f>SUM(AF33:AF34)</f>
        <v>134.08822287109791</v>
      </c>
    </row>
    <row r="36" spans="3:32" x14ac:dyDescent="0.25">
      <c r="AD36" s="228" t="s">
        <v>135</v>
      </c>
      <c r="AE36" s="332"/>
      <c r="AF36" s="333">
        <f>AF35-$AE$17</f>
        <v>-2704.6594131563752</v>
      </c>
    </row>
    <row r="37" spans="3:32" x14ac:dyDescent="0.25">
      <c r="AD37" s="229" t="s">
        <v>120</v>
      </c>
      <c r="AE37" s="334"/>
      <c r="AF37" s="335">
        <f>AF35/$AE35-1</f>
        <v>-0.95399643959595026</v>
      </c>
    </row>
    <row r="38" spans="3:32" x14ac:dyDescent="0.25">
      <c r="AD38" s="28"/>
      <c r="AE38" s="28"/>
    </row>
    <row r="39" spans="3:32" x14ac:dyDescent="0.25">
      <c r="AD39" s="28"/>
      <c r="AE39" s="28"/>
    </row>
    <row r="40" spans="3:32" x14ac:dyDescent="0.25">
      <c r="AD40" s="28"/>
      <c r="AE40" s="28"/>
    </row>
    <row r="41" spans="3:32" ht="15.75" x14ac:dyDescent="0.25">
      <c r="C41" s="364" t="s">
        <v>728</v>
      </c>
      <c r="D41" s="365"/>
      <c r="E41" s="365"/>
      <c r="F41" s="365"/>
      <c r="G41" s="365"/>
      <c r="H41" s="365"/>
      <c r="I41" s="365"/>
      <c r="J41" s="365"/>
      <c r="K41" s="365"/>
      <c r="L41" s="365"/>
      <c r="M41" s="365"/>
      <c r="N41" s="365"/>
      <c r="O41" s="365"/>
      <c r="P41" s="365"/>
      <c r="Q41" s="365"/>
      <c r="R41" s="365"/>
      <c r="S41" s="365"/>
      <c r="T41" s="365"/>
      <c r="U41" s="365"/>
      <c r="V41" s="365"/>
      <c r="W41" s="365"/>
      <c r="X41" s="365"/>
      <c r="Y41" s="365"/>
      <c r="Z41" s="366"/>
      <c r="AD41" s="337" t="s">
        <v>727</v>
      </c>
      <c r="AE41" s="830"/>
    </row>
    <row r="42" spans="3:32" ht="15.75" x14ac:dyDescent="0.25">
      <c r="C42" s="364" t="str">
        <f>""&amp;AE43&amp;" customer heating with "&amp;AE44&amp;" before CVEO participation"</f>
        <v>Residential customer heating with Oil before CVEO participation</v>
      </c>
      <c r="D42" s="365"/>
      <c r="E42" s="365"/>
      <c r="F42" s="365"/>
      <c r="G42" s="365"/>
      <c r="H42" s="365"/>
      <c r="I42" s="365"/>
      <c r="J42" s="365"/>
      <c r="K42" s="365"/>
      <c r="L42" s="365"/>
      <c r="M42" s="365"/>
      <c r="N42" s="365"/>
      <c r="O42" s="365"/>
      <c r="P42" s="365"/>
      <c r="Q42" s="365"/>
      <c r="R42" s="365"/>
      <c r="S42" s="365"/>
      <c r="T42" s="365"/>
      <c r="U42" s="365"/>
      <c r="V42" s="365"/>
      <c r="W42" s="365"/>
      <c r="X42" s="365"/>
      <c r="Y42" s="365"/>
      <c r="AD42" s="877" t="s">
        <v>710</v>
      </c>
      <c r="AE42" s="878">
        <f>_xlfn.MINIFS(Annual!$AB$9:$AB$22,Annual!$E$9:$E$22,"No")</f>
        <v>0.34085963154311616</v>
      </c>
    </row>
    <row r="43" spans="3:32" x14ac:dyDescent="0.25">
      <c r="AD43" s="207" t="s">
        <v>330</v>
      </c>
      <c r="AE43" s="832" t="str">
        <f>INDEX(Annual!$B$9:$B$22,MATCH(AE$42,Annual!$AB$9:$AB$22,0))</f>
        <v>Residential</v>
      </c>
    </row>
    <row r="44" spans="3:32" x14ac:dyDescent="0.25">
      <c r="AD44" s="207" t="s">
        <v>712</v>
      </c>
      <c r="AE44" s="832" t="str">
        <f>INDEX(Annual!$C$9:$C$22,MATCH(AE$42,Annual!$AB$9:$AB$22,0))</f>
        <v>Oil</v>
      </c>
    </row>
    <row r="45" spans="3:32" x14ac:dyDescent="0.25">
      <c r="AD45" s="207" t="s">
        <v>711</v>
      </c>
      <c r="AE45" s="832" t="str">
        <f>INDEX(Annual!$D$9:$D$22,MATCH(AE$42,Annual!$AB$9:$AB$22,0))</f>
        <v>Ductless</v>
      </c>
    </row>
    <row r="46" spans="3:32" x14ac:dyDescent="0.25">
      <c r="AD46" s="207" t="s">
        <v>551</v>
      </c>
      <c r="AE46" s="832" t="str">
        <f>INDEX(Annual!$E$9:$E$22,MATCH(AE$42,Annual!$AB$9:$AB$22,0))</f>
        <v>No</v>
      </c>
    </row>
    <row r="47" spans="3:32" x14ac:dyDescent="0.25">
      <c r="AD47" s="833" t="s">
        <v>713</v>
      </c>
      <c r="AE47" s="594">
        <f>INDEX(Annual!$F$9:$F$22,MATCH(AE$42,Annual!$AB$9:$AB$22,0))</f>
        <v>3</v>
      </c>
    </row>
    <row r="48" spans="3:32" x14ac:dyDescent="0.25">
      <c r="AD48" s="827" t="s">
        <v>155</v>
      </c>
      <c r="AE48" s="206" t="str">
        <f>AE43&amp;AE44&amp;AE45</f>
        <v>ResidentialOilDuctless</v>
      </c>
    </row>
    <row r="50" spans="3:39" x14ac:dyDescent="0.25">
      <c r="AD50" s="224" t="s">
        <v>715</v>
      </c>
      <c r="AE50" s="828" t="s">
        <v>132</v>
      </c>
      <c r="AF50" s="829" t="s">
        <v>242</v>
      </c>
    </row>
    <row r="51" spans="3:39" x14ac:dyDescent="0.25">
      <c r="AD51" s="207" t="s">
        <v>88</v>
      </c>
      <c r="AE51" s="208">
        <f>INDEX(Annual!$S$9:$S$22,MATCH($AE$48,Annual!$AC$9:$AC$22,0))</f>
        <v>2402.5511799999999</v>
      </c>
      <c r="AF51" s="336">
        <f>INDEX(Annual!$Z$9:$Z$22,MATCH($AE$48,Annual!$AC$9:$AC$22,0))</f>
        <v>2499.1033326666666</v>
      </c>
    </row>
    <row r="52" spans="3:39" x14ac:dyDescent="0.25">
      <c r="AD52" s="207" t="s">
        <v>133</v>
      </c>
      <c r="AE52" s="208">
        <f>INDEX(Annual!$K$9:$K$22,MATCH($AE$48,Annual!$AC$9:$AC$22,0))</f>
        <v>1388.9072896387624</v>
      </c>
      <c r="AF52" s="330"/>
    </row>
    <row r="53" spans="3:39" x14ac:dyDescent="0.25">
      <c r="AD53" s="224" t="s">
        <v>134</v>
      </c>
      <c r="AE53" s="225">
        <f>SUM(AE51:AE52)</f>
        <v>3791.4584696387624</v>
      </c>
      <c r="AF53" s="331">
        <f>SUM(AF51:AF52)</f>
        <v>2499.1033326666666</v>
      </c>
    </row>
    <row r="54" spans="3:39" x14ac:dyDescent="0.25">
      <c r="AD54" s="228" t="s">
        <v>135</v>
      </c>
      <c r="AE54" s="332"/>
      <c r="AF54" s="333">
        <f>AF53-$AE$17</f>
        <v>-339.64430336080659</v>
      </c>
    </row>
    <row r="55" spans="3:39" x14ac:dyDescent="0.25">
      <c r="AD55" s="229" t="s">
        <v>120</v>
      </c>
      <c r="AE55" s="334"/>
      <c r="AF55" s="335">
        <f>AF53/$AE53-1</f>
        <v>-0.34085963154311616</v>
      </c>
    </row>
    <row r="56" spans="3:39" x14ac:dyDescent="0.25">
      <c r="AD56" s="28"/>
      <c r="AE56" s="28"/>
    </row>
    <row r="59" spans="3:39" ht="15.75" x14ac:dyDescent="0.25">
      <c r="C59" s="364" t="s">
        <v>729</v>
      </c>
      <c r="D59" s="365"/>
      <c r="E59" s="365"/>
      <c r="F59" s="365"/>
      <c r="G59" s="365"/>
      <c r="H59" s="365"/>
      <c r="I59" s="365"/>
      <c r="J59" s="365"/>
      <c r="K59" s="365"/>
      <c r="L59" s="365"/>
      <c r="M59" s="365"/>
      <c r="N59" s="365"/>
      <c r="O59" s="365"/>
      <c r="P59" s="365"/>
      <c r="Q59" s="365"/>
      <c r="R59" s="365"/>
      <c r="S59" s="365"/>
      <c r="T59" s="365"/>
      <c r="U59" s="365"/>
      <c r="V59" s="365"/>
      <c r="W59" s="365"/>
      <c r="X59" s="365"/>
      <c r="Y59" s="365"/>
      <c r="Z59" s="365"/>
    </row>
    <row r="60" spans="3:39" ht="30" x14ac:dyDescent="0.25">
      <c r="AD60" s="281" t="s">
        <v>249</v>
      </c>
      <c r="AE60" s="1072" t="s">
        <v>555</v>
      </c>
      <c r="AF60" s="1072" t="s">
        <v>548</v>
      </c>
      <c r="AG60" s="282" t="s">
        <v>551</v>
      </c>
      <c r="AH60" s="282" t="s">
        <v>557</v>
      </c>
      <c r="AI60" s="282" t="s">
        <v>136</v>
      </c>
      <c r="AJ60" s="282" t="s">
        <v>137</v>
      </c>
      <c r="AK60" s="282" t="s">
        <v>717</v>
      </c>
    </row>
    <row r="61" spans="3:39" x14ac:dyDescent="0.25">
      <c r="AD61" s="284"/>
      <c r="AE61" s="1072"/>
      <c r="AF61" s="1072"/>
      <c r="AG61" s="285"/>
      <c r="AH61" s="285"/>
      <c r="AI61" s="285"/>
      <c r="AJ61" s="285"/>
      <c r="AK61" s="285"/>
      <c r="AM61" s="879" t="s">
        <v>730</v>
      </c>
    </row>
    <row r="62" spans="3:39" x14ac:dyDescent="0.25">
      <c r="AD62" s="36" t="s">
        <v>182</v>
      </c>
      <c r="AE62" t="s">
        <v>130</v>
      </c>
      <c r="AF62" t="s">
        <v>131</v>
      </c>
      <c r="AG62" s="355" t="s">
        <v>234</v>
      </c>
      <c r="AH62" s="45">
        <f>Annual!F9</f>
        <v>3</v>
      </c>
      <c r="AI62" s="844">
        <f>Annual!T9</f>
        <v>3791.4584696387624</v>
      </c>
      <c r="AJ62" s="844">
        <f>Annual!Z9</f>
        <v>2499.1033326666666</v>
      </c>
      <c r="AK62" s="1116">
        <f>-Annual!AB9</f>
        <v>-0.34085963154311616</v>
      </c>
      <c r="AM62" s="827" t="str">
        <f>AE62&amp;" to "&amp;AF62&amp;IF(AG62="No"," no Battery"," w/Battery")&amp;" ("&amp;AH62&amp;")"</f>
        <v>Oil to Ductless no Battery (3)</v>
      </c>
    </row>
    <row r="63" spans="3:39" x14ac:dyDescent="0.25">
      <c r="AD63" s="36" t="s">
        <v>182</v>
      </c>
      <c r="AE63" t="s">
        <v>130</v>
      </c>
      <c r="AF63" t="s">
        <v>131</v>
      </c>
      <c r="AG63" t="s">
        <v>233</v>
      </c>
      <c r="AH63" s="45">
        <f>Annual!F10</f>
        <v>2</v>
      </c>
      <c r="AI63" s="844">
        <f>Annual!T10</f>
        <v>3791.4584696387624</v>
      </c>
      <c r="AJ63" s="844">
        <f>Annual!Z10</f>
        <v>2658.0690789999999</v>
      </c>
      <c r="AK63" s="1117">
        <f>-Annual!AB10</f>
        <v>-0.29893229735066784</v>
      </c>
      <c r="AM63" s="827" t="str">
        <f t="shared" ref="AM63:AM73" si="0">AE63&amp;" to "&amp;AF63&amp;IF(AG63="No"," no Battery"," w/Battery")&amp;" ("&amp;AH63&amp;")"</f>
        <v>Oil to Ductless w/Battery (2)</v>
      </c>
    </row>
    <row r="64" spans="3:39" x14ac:dyDescent="0.25">
      <c r="AD64" s="36" t="s">
        <v>182</v>
      </c>
      <c r="AE64" t="s">
        <v>160</v>
      </c>
      <c r="AF64" t="s">
        <v>131</v>
      </c>
      <c r="AG64" t="s">
        <v>234</v>
      </c>
      <c r="AH64" s="45">
        <f>Annual!F11</f>
        <v>9</v>
      </c>
      <c r="AI64" s="844">
        <f>Annual!T11</f>
        <v>5032.717324158677</v>
      </c>
      <c r="AJ64" s="844">
        <f>Annual!Z11</f>
        <v>1995.8172158752673</v>
      </c>
      <c r="AK64" s="1117">
        <f>-Annual!AB11</f>
        <v>-0.60343148893050347</v>
      </c>
      <c r="AM64" s="827" t="str">
        <f t="shared" si="0"/>
        <v>Propane to Ductless no Battery (9)</v>
      </c>
    </row>
    <row r="65" spans="30:39" x14ac:dyDescent="0.25">
      <c r="AD65" s="36" t="s">
        <v>182</v>
      </c>
      <c r="AE65" t="s">
        <v>138</v>
      </c>
      <c r="AF65" t="s">
        <v>131</v>
      </c>
      <c r="AG65" t="s">
        <v>234</v>
      </c>
      <c r="AH65" s="45">
        <f>Annual!F12</f>
        <v>1</v>
      </c>
      <c r="AI65" s="844">
        <f>Annual!T12</f>
        <v>6403.3727828249221</v>
      </c>
      <c r="AJ65" s="844">
        <f>Annual!Z12</f>
        <v>3723.2383894483964</v>
      </c>
      <c r="AK65" s="1117">
        <f>-Annual!AB12</f>
        <v>-0.41855042401485065</v>
      </c>
      <c r="AM65" s="827" t="str">
        <f t="shared" si="0"/>
        <v>Electric to Ductless no Battery (1)</v>
      </c>
    </row>
    <row r="66" spans="30:39" x14ac:dyDescent="0.25">
      <c r="AD66" s="36" t="s">
        <v>182</v>
      </c>
      <c r="AE66" t="s">
        <v>138</v>
      </c>
      <c r="AF66" t="s">
        <v>721</v>
      </c>
      <c r="AG66" t="s">
        <v>233</v>
      </c>
      <c r="AH66" s="45">
        <f>Annual!F13</f>
        <v>1</v>
      </c>
      <c r="AI66" s="844">
        <f>Annual!T13</f>
        <v>4518.3581407857146</v>
      </c>
      <c r="AJ66" s="844">
        <f>Annual!Z13</f>
        <v>1194.0404350482081</v>
      </c>
      <c r="AK66" s="1117">
        <f>-Annual!AB13</f>
        <v>-0.73573576997582313</v>
      </c>
      <c r="AM66" s="827" t="str">
        <f>AF66&amp;IF(AG66="No"," no Battery"," w/Battery")&amp;" ("&amp;AH66&amp;")"</f>
        <v>HP prior to CVEO w/Battery (1)</v>
      </c>
    </row>
    <row r="67" spans="30:39" x14ac:dyDescent="0.25">
      <c r="AD67" s="36" t="s">
        <v>117</v>
      </c>
      <c r="AE67" t="s">
        <v>130</v>
      </c>
      <c r="AF67" t="s">
        <v>131</v>
      </c>
      <c r="AG67" t="s">
        <v>234</v>
      </c>
      <c r="AH67" s="45">
        <f>Annual!F14</f>
        <v>4</v>
      </c>
      <c r="AI67" s="844">
        <f>Annual!T14</f>
        <v>2932.9356914317013</v>
      </c>
      <c r="AJ67" s="844">
        <f>Annual!Z14</f>
        <v>1259.5187538333337</v>
      </c>
      <c r="AK67" s="1117">
        <f>-Annual!AB14</f>
        <v>-0.57056039192645769</v>
      </c>
      <c r="AM67" s="827" t="str">
        <f t="shared" si="0"/>
        <v>Oil to Ductless no Battery (4)</v>
      </c>
    </row>
    <row r="68" spans="30:39" x14ac:dyDescent="0.25">
      <c r="AD68" s="36" t="s">
        <v>117</v>
      </c>
      <c r="AE68" t="s">
        <v>130</v>
      </c>
      <c r="AF68" t="s">
        <v>131</v>
      </c>
      <c r="AG68" t="s">
        <v>233</v>
      </c>
      <c r="AH68" s="45">
        <f>Annual!F15</f>
        <v>2</v>
      </c>
      <c r="AI68" s="844">
        <f>Annual!T15</f>
        <v>2932.9356914317013</v>
      </c>
      <c r="AJ68" s="844">
        <f>Annual!Z15</f>
        <v>107.72423167606095</v>
      </c>
      <c r="AK68" s="1117">
        <f>-Annual!AB15</f>
        <v>-0.96327085111659039</v>
      </c>
      <c r="AM68" s="827" t="str">
        <f t="shared" si="0"/>
        <v>Oil to Ductless w/Battery (2)</v>
      </c>
    </row>
    <row r="69" spans="30:39" x14ac:dyDescent="0.25">
      <c r="AD69" s="36" t="s">
        <v>117</v>
      </c>
      <c r="AE69" t="s">
        <v>160</v>
      </c>
      <c r="AF69" t="s">
        <v>131</v>
      </c>
      <c r="AG69" t="s">
        <v>234</v>
      </c>
      <c r="AH69" s="45">
        <f>Annual!F16</f>
        <v>12</v>
      </c>
      <c r="AI69" s="844">
        <f>Annual!T16</f>
        <v>2838.7476360274732</v>
      </c>
      <c r="AJ69" s="844">
        <f>Annual!Z16</f>
        <v>620.71117746952211</v>
      </c>
      <c r="AK69" s="1117">
        <f>-Annual!AB16</f>
        <v>-0.78134330449389933</v>
      </c>
      <c r="AM69" s="827" t="str">
        <f t="shared" si="0"/>
        <v>Propane to Ductless no Battery (12)</v>
      </c>
    </row>
    <row r="70" spans="30:39" x14ac:dyDescent="0.25">
      <c r="AD70" s="36" t="s">
        <v>117</v>
      </c>
      <c r="AE70" t="s">
        <v>160</v>
      </c>
      <c r="AF70" t="s">
        <v>131</v>
      </c>
      <c r="AG70" t="s">
        <v>233</v>
      </c>
      <c r="AH70" s="45">
        <f>Annual!F17</f>
        <v>3</v>
      </c>
      <c r="AI70" s="844">
        <f>Annual!T17</f>
        <v>2838.7476360274732</v>
      </c>
      <c r="AJ70" s="844">
        <f>Annual!Z17</f>
        <v>209.98072298313491</v>
      </c>
      <c r="AK70" s="1117">
        <f>-Annual!AB17</f>
        <v>-0.92603050714399515</v>
      </c>
      <c r="AM70" s="827" t="str">
        <f t="shared" si="0"/>
        <v>Propane to Ductless w/Battery (3)</v>
      </c>
    </row>
    <row r="71" spans="30:39" x14ac:dyDescent="0.25">
      <c r="AD71" s="36" t="s">
        <v>117</v>
      </c>
      <c r="AE71" t="s">
        <v>160</v>
      </c>
      <c r="AF71" t="s">
        <v>159</v>
      </c>
      <c r="AG71" t="s">
        <v>234</v>
      </c>
      <c r="AH71" s="45">
        <f>Annual!F18</f>
        <v>7</v>
      </c>
      <c r="AI71" s="844">
        <f>Annual!T18</f>
        <v>2290.2782090796168</v>
      </c>
      <c r="AJ71" s="844">
        <f>Annual!Z18</f>
        <v>616.66913244578188</v>
      </c>
      <c r="AK71" s="1117">
        <f>-Annual!AB18</f>
        <v>-0.73074488068696253</v>
      </c>
      <c r="AM71" s="827" t="str">
        <f t="shared" si="0"/>
        <v>Propane to Ducted no Battery (7)</v>
      </c>
    </row>
    <row r="72" spans="30:39" x14ac:dyDescent="0.25">
      <c r="AD72" s="36" t="s">
        <v>117</v>
      </c>
      <c r="AE72" t="s">
        <v>138</v>
      </c>
      <c r="AF72" t="s">
        <v>131</v>
      </c>
      <c r="AG72" t="s">
        <v>234</v>
      </c>
      <c r="AH72" s="45">
        <f>Annual!F19</f>
        <v>1</v>
      </c>
      <c r="AI72" s="844">
        <f>Annual!T19</f>
        <v>2914.7357659581048</v>
      </c>
      <c r="AJ72" s="844">
        <f>Annual!Z19</f>
        <v>134.08822287109791</v>
      </c>
      <c r="AK72" s="1117">
        <f>-Annual!AB19</f>
        <v>-0.95399643959595026</v>
      </c>
      <c r="AM72" s="827" t="str">
        <f t="shared" si="0"/>
        <v>Electric to Ductless no Battery (1)</v>
      </c>
    </row>
    <row r="73" spans="30:39" x14ac:dyDescent="0.25">
      <c r="AD73" s="36" t="s">
        <v>117</v>
      </c>
      <c r="AE73" t="s">
        <v>138</v>
      </c>
      <c r="AF73" t="s">
        <v>131</v>
      </c>
      <c r="AG73" t="s">
        <v>233</v>
      </c>
      <c r="AH73" s="45">
        <f>Annual!F20</f>
        <v>1</v>
      </c>
      <c r="AI73" s="844">
        <f>Annual!T20</f>
        <v>2914.7357659581048</v>
      </c>
      <c r="AJ73" s="844">
        <f>Annual!Z20</f>
        <v>727.43600097651074</v>
      </c>
      <c r="AK73" s="1117">
        <f>-Annual!AB20</f>
        <v>-0.75042814876311958</v>
      </c>
      <c r="AM73" s="827" t="str">
        <f t="shared" si="0"/>
        <v>Electric to Ductless w/Battery (1)</v>
      </c>
    </row>
    <row r="74" spans="30:39" x14ac:dyDescent="0.25">
      <c r="AD74" s="36" t="s">
        <v>117</v>
      </c>
      <c r="AE74" t="s">
        <v>138</v>
      </c>
      <c r="AF74" t="s">
        <v>721</v>
      </c>
      <c r="AG74" t="s">
        <v>234</v>
      </c>
      <c r="AH74" s="45">
        <f>Annual!F21</f>
        <v>6</v>
      </c>
      <c r="AI74" s="844">
        <f>Annual!T21</f>
        <v>1868.4572380114289</v>
      </c>
      <c r="AJ74" s="844">
        <f>Annual!Z21</f>
        <v>654.76370606879971</v>
      </c>
      <c r="AK74" s="1117">
        <f>-Annual!AB21</f>
        <v>-0.64956987361099316</v>
      </c>
      <c r="AM74" s="827" t="str">
        <f>AF74&amp;IF(AG74="No"," no Battery"," w/Battery")&amp;" ("&amp;AH74&amp;")"</f>
        <v>HP prior to CVEO no Battery (6)</v>
      </c>
    </row>
    <row r="75" spans="30:39" x14ac:dyDescent="0.25">
      <c r="AD75" s="25" t="s">
        <v>117</v>
      </c>
      <c r="AE75" s="1" t="s">
        <v>138</v>
      </c>
      <c r="AF75" s="1" t="s">
        <v>721</v>
      </c>
      <c r="AG75" s="1" t="s">
        <v>233</v>
      </c>
      <c r="AH75" s="598">
        <f>Annual!F22</f>
        <v>3</v>
      </c>
      <c r="AI75" s="871">
        <f>Annual!T22</f>
        <v>1868.4572380114289</v>
      </c>
      <c r="AJ75" s="871">
        <f>Annual!Z22</f>
        <v>115.56410249174941</v>
      </c>
      <c r="AK75" s="1118">
        <f>-Annual!AB22</f>
        <v>-0.93814998805391847</v>
      </c>
      <c r="AM75" s="827" t="str">
        <f>AF75&amp;IF(AG75="No"," no Battery"," w/Battery")&amp;" ("&amp;AH75&amp;")"</f>
        <v>HP prior to CVEO w/Battery (3)</v>
      </c>
    </row>
  </sheetData>
  <mergeCells count="2">
    <mergeCell ref="AE60:AE61"/>
    <mergeCell ref="AF60:AF61"/>
  </mergeCells>
  <pageMargins left="0.7" right="0.7" top="0.75" bottom="0.75" header="0.3" footer="0.3"/>
  <pageSetup scale="5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44ABA-9D9F-4FB3-9478-57EAE0A4D031}">
  <sheetPr codeName="Sheet35">
    <tabColor theme="7"/>
    <pageSetUpPr fitToPage="1"/>
  </sheetPr>
  <dimension ref="B2:J21"/>
  <sheetViews>
    <sheetView showGridLines="0" zoomScale="85" zoomScaleNormal="85" workbookViewId="0"/>
  </sheetViews>
  <sheetFormatPr defaultRowHeight="15" x14ac:dyDescent="0.25"/>
  <cols>
    <col min="1" max="2" width="2.7109375" customWidth="1"/>
    <col min="3" max="3" width="34.28515625" bestFit="1" customWidth="1"/>
    <col min="4" max="4" width="35.7109375" bestFit="1" customWidth="1"/>
    <col min="5" max="5" width="11" bestFit="1" customWidth="1"/>
    <col min="6" max="6" width="9" customWidth="1"/>
    <col min="7" max="7" width="14.140625" customWidth="1"/>
    <col min="8" max="8" width="11" bestFit="1" customWidth="1"/>
    <col min="9" max="10" width="13.7109375" customWidth="1"/>
  </cols>
  <sheetData>
    <row r="2" spans="2:10" ht="21" x14ac:dyDescent="0.35">
      <c r="B2" s="261" t="s">
        <v>0</v>
      </c>
    </row>
    <row r="3" spans="2:10" ht="21" x14ac:dyDescent="0.35">
      <c r="B3" s="203" t="s">
        <v>773</v>
      </c>
      <c r="H3" s="385"/>
    </row>
    <row r="5" spans="2:10" ht="15" customHeight="1" x14ac:dyDescent="0.25">
      <c r="C5" s="1073" t="s">
        <v>472</v>
      </c>
      <c r="D5" s="1074" t="s">
        <v>521</v>
      </c>
      <c r="E5" s="1073" t="s">
        <v>473</v>
      </c>
      <c r="F5" s="1073"/>
      <c r="G5" s="1073"/>
      <c r="H5" s="1076" t="s">
        <v>525</v>
      </c>
      <c r="I5" s="1077"/>
      <c r="J5" s="1078"/>
    </row>
    <row r="6" spans="2:10" ht="45" x14ac:dyDescent="0.25">
      <c r="C6" s="1073"/>
      <c r="D6" s="1075"/>
      <c r="E6" s="410" t="s">
        <v>474</v>
      </c>
      <c r="F6" s="410" t="s">
        <v>475</v>
      </c>
      <c r="G6" s="410" t="s">
        <v>476</v>
      </c>
      <c r="H6" s="410" t="s">
        <v>522</v>
      </c>
      <c r="I6" s="410" t="s">
        <v>523</v>
      </c>
      <c r="J6" s="410" t="s">
        <v>524</v>
      </c>
    </row>
    <row r="7" spans="2:10" x14ac:dyDescent="0.25">
      <c r="C7" s="499" t="s">
        <v>478</v>
      </c>
      <c r="D7" s="499" t="str">
        <f>Summary!N17</f>
        <v>Customer finances w/HEAT Loan.</v>
      </c>
      <c r="E7" s="502">
        <f>Inputs!E31</f>
        <v>0</v>
      </c>
      <c r="F7" s="502">
        <f>Inputs!E36*E7</f>
        <v>0</v>
      </c>
      <c r="G7" s="573">
        <v>0</v>
      </c>
      <c r="H7" s="579">
        <v>0</v>
      </c>
      <c r="I7" s="579">
        <f>IFERROR($H7/E7,0)</f>
        <v>0</v>
      </c>
      <c r="J7" s="579">
        <f>IFERROR($H7/F7,0)</f>
        <v>0</v>
      </c>
    </row>
    <row r="8" spans="2:10" x14ac:dyDescent="0.25">
      <c r="C8" s="499" t="s">
        <v>479</v>
      </c>
      <c r="D8" s="578">
        <f>Summary!N18</f>
        <v>1</v>
      </c>
      <c r="E8" s="502">
        <f>Inputs!E32</f>
        <v>3</v>
      </c>
      <c r="F8" s="502">
        <f>Inputs!E37*E8</f>
        <v>5</v>
      </c>
      <c r="G8" s="574">
        <f>F8/E8</f>
        <v>1.6666666666666667</v>
      </c>
      <c r="H8" s="579">
        <f>Budget!D10</f>
        <v>98256</v>
      </c>
      <c r="I8" s="579">
        <f t="shared" ref="I8:I11" si="0">IFERROR($H8/E8,0)</f>
        <v>32752</v>
      </c>
      <c r="J8" s="579">
        <f t="shared" ref="J8:J11" si="1">IFERROR($H8/F8,0)</f>
        <v>19651.2</v>
      </c>
    </row>
    <row r="9" spans="2:10" x14ac:dyDescent="0.25">
      <c r="C9" s="499" t="s">
        <v>480</v>
      </c>
      <c r="D9" s="499" t="str">
        <f>Summary!N19</f>
        <v>Customer finances w/HEAT Loan.</v>
      </c>
      <c r="E9" s="502">
        <f>Inputs!E33</f>
        <v>0</v>
      </c>
      <c r="F9" s="502">
        <f>Inputs!E38*E9</f>
        <v>0</v>
      </c>
      <c r="G9" s="573">
        <v>0</v>
      </c>
      <c r="H9" s="579">
        <v>0</v>
      </c>
      <c r="I9" s="579">
        <f t="shared" si="0"/>
        <v>0</v>
      </c>
      <c r="J9" s="579">
        <f t="shared" si="1"/>
        <v>0</v>
      </c>
    </row>
    <row r="10" spans="2:10" x14ac:dyDescent="0.25">
      <c r="C10" s="499" t="s">
        <v>481</v>
      </c>
      <c r="D10" s="578">
        <f>Summary!N20</f>
        <v>1</v>
      </c>
      <c r="E10" s="502">
        <f>Inputs!E34</f>
        <v>9</v>
      </c>
      <c r="F10" s="502">
        <f>Inputs!E39*E10</f>
        <v>15</v>
      </c>
      <c r="G10" s="574">
        <f>F10/E10</f>
        <v>1.6666666666666667</v>
      </c>
      <c r="H10" s="579">
        <f>Budget!D22</f>
        <v>299498.40000000002</v>
      </c>
      <c r="I10" s="579">
        <f t="shared" si="0"/>
        <v>33277.600000000006</v>
      </c>
      <c r="J10" s="579">
        <f t="shared" si="1"/>
        <v>19966.560000000001</v>
      </c>
    </row>
    <row r="11" spans="2:10" x14ac:dyDescent="0.25">
      <c r="C11" s="575" t="s">
        <v>477</v>
      </c>
      <c r="D11" s="575"/>
      <c r="E11" s="576">
        <f>SUM(E7:E10)</f>
        <v>12</v>
      </c>
      <c r="F11" s="576">
        <f>SUM(F7:F10)</f>
        <v>20</v>
      </c>
      <c r="G11" s="577">
        <f>F11/E11</f>
        <v>1.6666666666666667</v>
      </c>
      <c r="H11" s="580">
        <f>SUM(H7:H10)</f>
        <v>397754.4</v>
      </c>
      <c r="I11" s="628">
        <f t="shared" si="0"/>
        <v>33146.200000000004</v>
      </c>
      <c r="J11" s="628">
        <f t="shared" si="1"/>
        <v>19887.72</v>
      </c>
    </row>
    <row r="12" spans="2:10" x14ac:dyDescent="0.25">
      <c r="C12" s="498"/>
      <c r="D12" s="498"/>
      <c r="E12" s="506"/>
      <c r="F12" s="506"/>
      <c r="G12" s="507"/>
      <c r="H12" s="506"/>
      <c r="I12" s="581"/>
      <c r="J12" s="506"/>
    </row>
    <row r="13" spans="2:10" ht="14.25" customHeight="1" x14ac:dyDescent="0.25">
      <c r="C13" s="572" t="s">
        <v>33</v>
      </c>
      <c r="E13" t="s">
        <v>27</v>
      </c>
      <c r="H13" s="508"/>
      <c r="I13" s="508"/>
      <c r="J13" s="508"/>
    </row>
    <row r="14" spans="2:10" x14ac:dyDescent="0.25">
      <c r="C14" t="s">
        <v>702</v>
      </c>
      <c r="D14" s="572"/>
      <c r="E14" s="498"/>
      <c r="G14" s="498"/>
      <c r="H14" s="498"/>
      <c r="I14" s="498"/>
      <c r="J14" s="498"/>
    </row>
    <row r="15" spans="2:10" x14ac:dyDescent="0.25">
      <c r="C15" t="s">
        <v>789</v>
      </c>
      <c r="E15" s="498"/>
      <c r="F15" s="498"/>
      <c r="G15" s="498"/>
      <c r="H15" s="498"/>
      <c r="I15" s="498"/>
      <c r="J15" s="498"/>
    </row>
    <row r="16" spans="2:10" x14ac:dyDescent="0.25">
      <c r="C16" t="s">
        <v>526</v>
      </c>
    </row>
    <row r="18" spans="3:10" x14ac:dyDescent="0.25">
      <c r="C18" s="385"/>
      <c r="D18" s="385"/>
    </row>
    <row r="20" spans="3:10" x14ac:dyDescent="0.25">
      <c r="H20" s="126"/>
      <c r="I20" s="126"/>
      <c r="J20" s="126"/>
    </row>
    <row r="21" spans="3:10" x14ac:dyDescent="0.25">
      <c r="C21" s="126"/>
      <c r="D21" s="126"/>
    </row>
  </sheetData>
  <mergeCells count="4">
    <mergeCell ref="C5:C6"/>
    <mergeCell ref="E5:G5"/>
    <mergeCell ref="D5:D6"/>
    <mergeCell ref="H5:J5"/>
  </mergeCells>
  <pageMargins left="0.7" right="0.7" top="0.75" bottom="0.75" header="0.3" footer="0.3"/>
  <pageSetup scale="84" orientation="landscape" r:id="rId1"/>
  <colBreaks count="1" manualBreakCount="1">
    <brk id="10" min="1" max="2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78CD-6C03-480B-8C7E-3C22A8437070}">
  <sheetPr codeName="Sheet11">
    <tabColor theme="1"/>
  </sheetPr>
  <dimension ref="B2"/>
  <sheetViews>
    <sheetView workbookViewId="0"/>
  </sheetViews>
  <sheetFormatPr defaultRowHeight="15" x14ac:dyDescent="0.25"/>
  <sheetData>
    <row r="2" spans="2:2" ht="21" x14ac:dyDescent="0.35">
      <c r="B2" s="261"/>
    </row>
  </sheetData>
  <pageMargins left="0.7" right="0.7" top="0.75" bottom="0.75" header="0.3" footer="0.3"/>
  <pageSetup scale="5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CF39-265D-40B9-BD07-2EF363890358}">
  <sheetPr codeName="Sheet12">
    <tabColor theme="4" tint="0.79998168889431442"/>
  </sheetPr>
  <dimension ref="B1:AJ56"/>
  <sheetViews>
    <sheetView showGridLines="0" zoomScale="85" zoomScaleNormal="85" workbookViewId="0"/>
  </sheetViews>
  <sheetFormatPr defaultRowHeight="15" x14ac:dyDescent="0.25"/>
  <cols>
    <col min="1" max="1" width="2.7109375" customWidth="1"/>
    <col min="2" max="2" width="15.28515625" customWidth="1"/>
    <col min="3" max="3" width="12.28515625" customWidth="1"/>
    <col min="4" max="4" width="18.7109375" customWidth="1"/>
    <col min="5" max="5" width="9.7109375" customWidth="1"/>
    <col min="6" max="6" width="11.7109375" customWidth="1"/>
    <col min="7" max="7" width="11.28515625" customWidth="1"/>
    <col min="8" max="11" width="10.7109375" customWidth="1"/>
    <col min="12" max="12" width="15.42578125" bestFit="1" customWidth="1"/>
    <col min="13" max="14" width="10.7109375" customWidth="1"/>
    <col min="15" max="15" width="12.85546875" customWidth="1"/>
    <col min="16" max="16" width="13.5703125" customWidth="1"/>
    <col min="17" max="17" width="13.42578125" customWidth="1"/>
    <col min="18" max="18" width="13.5703125" customWidth="1"/>
    <col min="19" max="19" width="11.5703125" customWidth="1"/>
    <col min="20" max="21" width="10.7109375" customWidth="1"/>
    <col min="22" max="25" width="12.85546875" customWidth="1"/>
    <col min="26" max="26" width="13" customWidth="1"/>
    <col min="27" max="28" width="9.7109375" customWidth="1"/>
    <col min="29" max="30" width="4.7109375" customWidth="1"/>
    <col min="31" max="31" width="10.7109375" customWidth="1"/>
    <col min="32" max="32" width="6.5703125" bestFit="1" customWidth="1"/>
    <col min="33" max="34" width="2.7109375" customWidth="1"/>
    <col min="35" max="35" width="9.5703125" bestFit="1" customWidth="1"/>
  </cols>
  <sheetData>
    <row r="1" spans="2:36" x14ac:dyDescent="0.25">
      <c r="P1" s="625"/>
    </row>
    <row r="2" spans="2:36" ht="21" x14ac:dyDescent="0.35">
      <c r="B2" s="261" t="s">
        <v>0</v>
      </c>
      <c r="D2" s="4"/>
      <c r="E2" s="4"/>
      <c r="F2" s="4"/>
      <c r="O2" t="s">
        <v>27</v>
      </c>
      <c r="P2" s="625"/>
      <c r="Q2" s="622" t="s">
        <v>27</v>
      </c>
      <c r="U2" s="394"/>
      <c r="V2" s="881"/>
      <c r="W2" s="881"/>
      <c r="X2" s="385"/>
    </row>
    <row r="3" spans="2:36" ht="21" x14ac:dyDescent="0.35">
      <c r="B3" s="203" t="s">
        <v>780</v>
      </c>
      <c r="Q3" s="622"/>
      <c r="T3" s="22"/>
      <c r="U3" s="483"/>
      <c r="V3" s="881"/>
      <c r="W3" s="881"/>
      <c r="X3" s="385"/>
      <c r="Z3" s="117"/>
      <c r="AA3" s="117"/>
      <c r="AB3" s="117"/>
    </row>
    <row r="4" spans="2:36" x14ac:dyDescent="0.25">
      <c r="U4" s="385"/>
      <c r="V4" s="881"/>
      <c r="W4" s="881"/>
      <c r="X4" s="385"/>
      <c r="Z4" s="117"/>
      <c r="AA4" s="117"/>
      <c r="AB4" s="117"/>
      <c r="AF4" t="s">
        <v>27</v>
      </c>
    </row>
    <row r="5" spans="2:36" s="271" customFormat="1" ht="18.75" x14ac:dyDescent="0.3">
      <c r="B5" s="272"/>
      <c r="C5" s="272"/>
      <c r="D5" s="272"/>
      <c r="E5" s="272"/>
      <c r="F5" s="272"/>
      <c r="G5" s="272"/>
      <c r="I5" s="1086" t="s">
        <v>136</v>
      </c>
      <c r="J5" s="1086"/>
      <c r="K5" s="1086"/>
      <c r="L5" s="1086"/>
      <c r="M5" s="1086"/>
      <c r="N5" s="1086"/>
      <c r="O5" s="1086"/>
      <c r="P5" s="1086"/>
      <c r="Q5" s="1086"/>
      <c r="R5" s="1086"/>
      <c r="S5" s="1086"/>
      <c r="T5" s="1086"/>
      <c r="U5" s="1083" t="s">
        <v>137</v>
      </c>
      <c r="V5" s="1083"/>
      <c r="W5" s="1083"/>
      <c r="X5" s="1083"/>
      <c r="Y5" s="1083"/>
      <c r="Z5" s="1083"/>
      <c r="AA5" s="1083"/>
      <c r="AB5" s="1083"/>
      <c r="AI5"/>
    </row>
    <row r="6" spans="2:36" ht="15" customHeight="1" x14ac:dyDescent="0.25">
      <c r="B6" s="279"/>
      <c r="C6" s="276"/>
      <c r="D6" s="276"/>
      <c r="E6" s="276"/>
      <c r="F6" s="280"/>
      <c r="G6" s="1080" t="s">
        <v>138</v>
      </c>
      <c r="H6" s="1081"/>
      <c r="I6" s="1080" t="s">
        <v>139</v>
      </c>
      <c r="J6" s="1080"/>
      <c r="K6" s="1080"/>
      <c r="L6" s="1085" t="s">
        <v>88</v>
      </c>
      <c r="M6" s="1085"/>
      <c r="N6" s="1085"/>
      <c r="O6" s="1085"/>
      <c r="P6" s="1085"/>
      <c r="Q6" s="1085"/>
      <c r="R6" s="1085"/>
      <c r="S6" s="1085"/>
      <c r="T6" s="1084" t="s">
        <v>140</v>
      </c>
      <c r="U6" s="1082" t="s">
        <v>558</v>
      </c>
      <c r="V6" s="1082"/>
      <c r="W6" s="1082"/>
      <c r="X6" s="1082"/>
      <c r="Y6" s="1085" t="s">
        <v>718</v>
      </c>
      <c r="Z6" s="1085"/>
      <c r="AA6" s="1085"/>
      <c r="AB6" s="1085"/>
      <c r="AC6" s="279"/>
      <c r="AD6" s="276"/>
      <c r="AE6" s="276"/>
      <c r="AF6" s="280"/>
    </row>
    <row r="7" spans="2:36" s="273" customFormat="1" ht="45" x14ac:dyDescent="0.25">
      <c r="B7" s="281" t="s">
        <v>249</v>
      </c>
      <c r="C7" s="1072" t="s">
        <v>555</v>
      </c>
      <c r="D7" s="1072" t="s">
        <v>548</v>
      </c>
      <c r="E7" s="282" t="s">
        <v>551</v>
      </c>
      <c r="F7" s="283" t="s">
        <v>557</v>
      </c>
      <c r="G7" s="282" t="s">
        <v>91</v>
      </c>
      <c r="H7" s="283" t="s">
        <v>141</v>
      </c>
      <c r="I7" s="282" t="s">
        <v>142</v>
      </c>
      <c r="J7" s="282" t="s">
        <v>143</v>
      </c>
      <c r="K7" s="283" t="s">
        <v>144</v>
      </c>
      <c r="L7" s="282" t="s">
        <v>145</v>
      </c>
      <c r="M7" s="282" t="s">
        <v>680</v>
      </c>
      <c r="N7" s="282" t="s">
        <v>146</v>
      </c>
      <c r="O7" s="282" t="s">
        <v>147</v>
      </c>
      <c r="P7" s="282" t="s">
        <v>148</v>
      </c>
      <c r="Q7" s="282" t="s">
        <v>149</v>
      </c>
      <c r="R7" s="282" t="s">
        <v>150</v>
      </c>
      <c r="S7" s="282" t="s">
        <v>151</v>
      </c>
      <c r="T7" s="1084"/>
      <c r="U7" s="282" t="s">
        <v>99</v>
      </c>
      <c r="V7" s="282" t="s">
        <v>154</v>
      </c>
      <c r="W7" s="282" t="s">
        <v>55</v>
      </c>
      <c r="X7" s="283" t="s">
        <v>553</v>
      </c>
      <c r="Y7" s="281" t="s">
        <v>152</v>
      </c>
      <c r="Z7" s="282" t="s">
        <v>144</v>
      </c>
      <c r="AA7" s="282" t="s">
        <v>153</v>
      </c>
      <c r="AB7" s="282" t="s">
        <v>153</v>
      </c>
      <c r="AC7" s="281" t="s">
        <v>155</v>
      </c>
      <c r="AD7" s="282" t="s">
        <v>155</v>
      </c>
      <c r="AE7" s="282" t="s">
        <v>716</v>
      </c>
      <c r="AF7" s="825" t="s">
        <v>249</v>
      </c>
      <c r="AI7"/>
    </row>
    <row r="8" spans="2:36" s="16" customFormat="1" x14ac:dyDescent="0.25">
      <c r="B8" s="284"/>
      <c r="C8" s="1072"/>
      <c r="D8" s="1072"/>
      <c r="E8" s="285"/>
      <c r="F8" s="850"/>
      <c r="G8" s="286" t="s">
        <v>49</v>
      </c>
      <c r="H8" s="601" t="s">
        <v>58</v>
      </c>
      <c r="I8" s="287" t="s">
        <v>156</v>
      </c>
      <c r="J8" s="287" t="s">
        <v>157</v>
      </c>
      <c r="K8" s="288" t="s">
        <v>58</v>
      </c>
      <c r="L8" s="289" t="s">
        <v>90</v>
      </c>
      <c r="M8" s="286" t="s">
        <v>90</v>
      </c>
      <c r="N8" s="286" t="s">
        <v>90</v>
      </c>
      <c r="O8" s="287" t="s">
        <v>47</v>
      </c>
      <c r="P8" s="287" t="s">
        <v>47</v>
      </c>
      <c r="Q8" s="287" t="s">
        <v>47</v>
      </c>
      <c r="R8" s="287" t="s">
        <v>47</v>
      </c>
      <c r="S8" s="287" t="s">
        <v>58</v>
      </c>
      <c r="T8" s="290" t="s">
        <v>58</v>
      </c>
      <c r="U8" s="287" t="s">
        <v>47</v>
      </c>
      <c r="V8" s="287" t="s">
        <v>47</v>
      </c>
      <c r="W8" s="287" t="s">
        <v>47</v>
      </c>
      <c r="X8" s="288" t="s">
        <v>47</v>
      </c>
      <c r="Y8" s="291" t="s">
        <v>158</v>
      </c>
      <c r="Z8" s="287" t="s">
        <v>58</v>
      </c>
      <c r="AA8" s="287" t="s">
        <v>58</v>
      </c>
      <c r="AB8" s="287" t="s">
        <v>49</v>
      </c>
      <c r="AC8" s="623"/>
      <c r="AD8" s="834"/>
      <c r="AE8" s="834"/>
      <c r="AF8" s="624"/>
      <c r="AI8"/>
    </row>
    <row r="9" spans="2:36" x14ac:dyDescent="0.25">
      <c r="B9" s="36" t="s">
        <v>182</v>
      </c>
      <c r="C9" t="s">
        <v>130</v>
      </c>
      <c r="D9" t="s">
        <v>131</v>
      </c>
      <c r="E9" s="355" t="s">
        <v>234</v>
      </c>
      <c r="F9" s="910">
        <v>3</v>
      </c>
      <c r="G9" s="599">
        <f>IF(B9="Residential",0,Inputs!$E$103)</f>
        <v>0</v>
      </c>
      <c r="H9" s="602">
        <f>Inputs!$E$98</f>
        <v>120</v>
      </c>
      <c r="I9" s="176">
        <f>IF(C9="Electric",0,IF(C9="Oil",Inputs!$E$96,Inputs!$E$97))</f>
        <v>3.83</v>
      </c>
      <c r="J9" s="120">
        <f>IFERROR(INDEX(HeatPumps!$R$8:$R$19,MATCH(AC9,HeatPumps!$Z$8:$Z$19,0)),0)</f>
        <v>362.63897901795366</v>
      </c>
      <c r="K9" s="121">
        <f t="shared" ref="K9" si="0">J9*I9</f>
        <v>1388.9072896387624</v>
      </c>
      <c r="L9" s="144">
        <f>IF(C9="Electric",Inputs!$E$100,Inputs!$E$99)</f>
        <v>0.30076999999999998</v>
      </c>
      <c r="M9" s="596">
        <f>Inputs!$E$101</f>
        <v>2.8649999999999998E-2</v>
      </c>
      <c r="N9" s="127">
        <f>SUM(L9:M9)</f>
        <v>0.32941999999999999</v>
      </c>
      <c r="O9" s="120">
        <f>IF(B9="Residential",Inputs!$E$104,Inputs!$E$105)</f>
        <v>6360</v>
      </c>
      <c r="P9" s="849">
        <f>SUMIFS(HeatPumps!$L$9:$L$19,HeatPumps!$Z$9:$Z$19,AC9)+V9</f>
        <v>0</v>
      </c>
      <c r="Q9" s="120">
        <f>IF(D9="HP prior to CVEO",0,Inputs!$E$108)</f>
        <v>569</v>
      </c>
      <c r="R9" s="120">
        <f>SUM(O9:Q9)</f>
        <v>6929</v>
      </c>
      <c r="S9" s="120">
        <f>(N9*R9+H9)*(1-G9)</f>
        <v>2402.5511799999999</v>
      </c>
      <c r="T9" s="155">
        <f>K9+S9</f>
        <v>3791.4584696387624</v>
      </c>
      <c r="U9" s="852">
        <v>4814.666666666667</v>
      </c>
      <c r="V9" s="620">
        <f>IF(D9="HP prior to CVEO",0,IF(C9="Electric",P9-INDEX(HeatPumps!$L$8:$L$19,MATCH(AC9,HeatPumps!$Z$8:$Z$19,0)),-INDEX(HeatPumps!$L$8:$L$19,MATCH(AC9,HeatPumps!$Z$8:$Z$19,0))))</f>
        <v>5745.82</v>
      </c>
      <c r="W9" s="620">
        <f>SUMIFS(Monthly!$W$177:$W$190,Monthly!$AC$177:$AC$190,AD9)</f>
        <v>0</v>
      </c>
      <c r="X9" s="621">
        <f t="shared" ref="X9:X22" si="1">O9+IF(D9="HP prior to CVEO",P9,V9)+W9-U9</f>
        <v>7291.1533333333327</v>
      </c>
      <c r="Y9" s="118">
        <f>SUMIFS(Monthly!$Y$177:$Y$190,Monthly!$AC$177:$AC$190,AD9)</f>
        <v>7291.1533333333318</v>
      </c>
      <c r="Z9" s="120">
        <f>SUMIFS(Monthly!$Z$177:$Z$190,Monthly!$AC$177:$AC$190,AD9)</f>
        <v>2499.1033326666666</v>
      </c>
      <c r="AA9" s="120">
        <f t="shared" ref="AA9:AA22" si="2">T9-Z9</f>
        <v>1292.3551369720958</v>
      </c>
      <c r="AB9" s="134">
        <f t="shared" ref="AB9" si="3">-(Z9/$T9-1)</f>
        <v>0.34085963154311616</v>
      </c>
      <c r="AC9" s="835" t="str">
        <f t="shared" ref="AC9:AC22" si="4">_xlfn.CONCAT(B9:D9)</f>
        <v>ResidentialOilDuctless</v>
      </c>
      <c r="AD9" s="855" t="str">
        <f>_xlfn.CONCAT(B9:E9)</f>
        <v>ResidentialOilDuctlessNo</v>
      </c>
      <c r="AE9" s="406" t="s">
        <v>299</v>
      </c>
      <c r="AF9" s="836" t="s">
        <v>251</v>
      </c>
      <c r="AG9" s="22"/>
      <c r="AI9" s="3"/>
      <c r="AJ9" s="22"/>
    </row>
    <row r="10" spans="2:36" x14ac:dyDescent="0.25">
      <c r="B10" s="36" t="s">
        <v>182</v>
      </c>
      <c r="C10" t="s">
        <v>130</v>
      </c>
      <c r="D10" t="s">
        <v>131</v>
      </c>
      <c r="E10" t="s">
        <v>233</v>
      </c>
      <c r="F10" s="910">
        <v>2</v>
      </c>
      <c r="G10" s="599">
        <f>IF(B10="Residential",0,Inputs!$E$103)</f>
        <v>0</v>
      </c>
      <c r="H10" s="602">
        <f>Inputs!$E$98</f>
        <v>120</v>
      </c>
      <c r="I10" s="176">
        <f>IF(C10="Electric",0,IF(C10="Oil",Inputs!$E$96,Inputs!$E$97))</f>
        <v>3.83</v>
      </c>
      <c r="J10" s="120">
        <f>IFERROR(INDEX(HeatPumps!$R$8:$R$19,MATCH(AC10,HeatPumps!$Z$8:$Z$19,0)),0)</f>
        <v>362.63897901795366</v>
      </c>
      <c r="K10" s="121">
        <f t="shared" ref="K10:K22" si="5">J10*I10</f>
        <v>1388.9072896387624</v>
      </c>
      <c r="L10" s="144">
        <f>IF(C10="Electric",Inputs!$E$100,Inputs!$E$99)</f>
        <v>0.30076999999999998</v>
      </c>
      <c r="M10" s="127">
        <f>Inputs!$E$101</f>
        <v>2.8649999999999998E-2</v>
      </c>
      <c r="N10" s="127">
        <f>SUM(L10:M10)</f>
        <v>0.32941999999999999</v>
      </c>
      <c r="O10" s="120">
        <f>IF(B10="Residential",Inputs!$E$104,Inputs!$E$105)</f>
        <v>6360</v>
      </c>
      <c r="P10" s="849">
        <f>SUMIFS(HeatPumps!$L$9:$L$19,HeatPumps!$Z$9:$Z$19,AC10)+V10</f>
        <v>0</v>
      </c>
      <c r="Q10" s="120">
        <f>IF(D10="HP prior to CVEO",0,Inputs!$E$108)</f>
        <v>569</v>
      </c>
      <c r="R10" s="120">
        <f>SUM(O10:Q10)</f>
        <v>6929</v>
      </c>
      <c r="S10" s="120">
        <f>(N10*R10+H10)*(1-G10)</f>
        <v>2402.5511799999999</v>
      </c>
      <c r="T10" s="155">
        <f t="shared" ref="T10:T22" si="6">K10+S10</f>
        <v>3791.4584696387624</v>
      </c>
      <c r="U10" s="852">
        <v>4358</v>
      </c>
      <c r="V10" s="620">
        <f>IF(D10="HP prior to CVEO",0,IF(C10="Electric",P10-INDEX(HeatPumps!$L$8:$L$19,MATCH(AC10,HeatPumps!$Z$8:$Z$19,0)),-INDEX(HeatPumps!$L$8:$L$19,MATCH(AC10,HeatPumps!$Z$8:$Z$19,0))))</f>
        <v>5745.82</v>
      </c>
      <c r="W10" s="620">
        <f>SUMIFS(Monthly!$W$177:$W$190,Monthly!$AC$177:$AC$190,AD10)</f>
        <v>30.509999999999991</v>
      </c>
      <c r="X10" s="621">
        <f t="shared" si="1"/>
        <v>7778.33</v>
      </c>
      <c r="Y10" s="118">
        <f>SUMIFS(Monthly!$Y$177:$Y$190,Monthly!$AC$177:$AC$190,AD10)</f>
        <v>7778.3299999999981</v>
      </c>
      <c r="Z10" s="120">
        <f>SUMIFS(Monthly!$Z$177:$Z$190,Monthly!$AC$177:$AC$190,AD10)</f>
        <v>2658.0690789999999</v>
      </c>
      <c r="AA10" s="120">
        <f t="shared" si="2"/>
        <v>1133.3893906387625</v>
      </c>
      <c r="AB10" s="134">
        <f t="shared" ref="AB10:AB22" si="7">-(Z10/$T10-1)</f>
        <v>0.29893229735066784</v>
      </c>
      <c r="AC10" s="835" t="str">
        <f t="shared" si="4"/>
        <v>ResidentialOilDuctless</v>
      </c>
      <c r="AD10" s="855" t="str">
        <f t="shared" ref="AD10:AD22" si="8">_xlfn.CONCAT(B10:E10)</f>
        <v>ResidentialOilDuctlessYes</v>
      </c>
      <c r="AE10" s="406" t="s">
        <v>299</v>
      </c>
      <c r="AF10" s="836" t="s">
        <v>251</v>
      </c>
      <c r="AG10" s="22"/>
      <c r="AI10" s="3"/>
      <c r="AJ10" s="22"/>
    </row>
    <row r="11" spans="2:36" x14ac:dyDescent="0.25">
      <c r="B11" s="36" t="s">
        <v>182</v>
      </c>
      <c r="C11" t="s">
        <v>160</v>
      </c>
      <c r="D11" t="s">
        <v>131</v>
      </c>
      <c r="E11" t="s">
        <v>234</v>
      </c>
      <c r="F11" s="910">
        <v>9</v>
      </c>
      <c r="G11" s="599">
        <f>IF(B11="Residential",0,Inputs!$E$103)</f>
        <v>0</v>
      </c>
      <c r="H11" s="602">
        <f>Inputs!$E$98</f>
        <v>120</v>
      </c>
      <c r="I11" s="176">
        <f>IF(C11="Electric",0,IF(C11="Oil",Inputs!$E$96,Inputs!$E$97))</f>
        <v>3.34</v>
      </c>
      <c r="J11" s="120">
        <f>IFERROR(INDEX(HeatPumps!$R$8:$R$19,MATCH(AC11,HeatPumps!$Z$8:$Z$19,0)),0)</f>
        <v>787.47489346068164</v>
      </c>
      <c r="K11" s="121">
        <f t="shared" si="5"/>
        <v>2630.1661441586766</v>
      </c>
      <c r="L11" s="144">
        <f>IF(C11="Electric",Inputs!$E$100,Inputs!$E$99)</f>
        <v>0.30076999999999998</v>
      </c>
      <c r="M11" s="127">
        <f>Inputs!$E$101</f>
        <v>2.8649999999999998E-2</v>
      </c>
      <c r="N11" s="127">
        <f t="shared" ref="N11:N22" si="9">SUM(L11:M11)</f>
        <v>0.32941999999999999</v>
      </c>
      <c r="O11" s="120">
        <f>IF(B11="Residential",Inputs!$E$104,Inputs!$E$105)</f>
        <v>6360</v>
      </c>
      <c r="P11" s="849">
        <f>SUMIFS(HeatPumps!$L$9:$L$19,HeatPumps!$Z$9:$Z$19,AC11)+V11</f>
        <v>0</v>
      </c>
      <c r="Q11" s="120">
        <f>IF(D11="HP prior to CVEO",0,Inputs!$E$108)</f>
        <v>569</v>
      </c>
      <c r="R11" s="120">
        <f t="shared" ref="R11:R22" si="10">SUM(O11:Q11)</f>
        <v>6929</v>
      </c>
      <c r="S11" s="120">
        <f t="shared" ref="S11:S22" si="11">(N11*R11+H11)*(1-G11)</f>
        <v>2402.5511799999999</v>
      </c>
      <c r="T11" s="155">
        <f t="shared" si="6"/>
        <v>5032.717324158677</v>
      </c>
      <c r="U11" s="852">
        <v>9247.5555555555547</v>
      </c>
      <c r="V11" s="620">
        <f>IF(D11="HP prior to CVEO",0,IF(C11="Electric",P11-INDEX(HeatPumps!$L$8:$L$19,MATCH(AC11,HeatPumps!$Z$8:$Z$19,0)),-INDEX(HeatPumps!$L$8:$L$19,MATCH(AC11,HeatPumps!$Z$8:$Z$19,0))))</f>
        <v>8077.8666666666668</v>
      </c>
      <c r="W11" s="620">
        <f>SUMIFS(Monthly!$W$177:$W$190,Monthly!$AC$177:$AC$190,AD11)</f>
        <v>0</v>
      </c>
      <c r="X11" s="621">
        <f t="shared" si="1"/>
        <v>5190.311111111112</v>
      </c>
      <c r="Y11" s="118">
        <f>SUMIFS(Monthly!$Y$177:$Y$190,Monthly!$AC$177:$AC$190,AD11)</f>
        <v>5190.311111111112</v>
      </c>
      <c r="Z11" s="120">
        <f>SUMIFS(Monthly!$Z$177:$Z$190,Monthly!$AC$177:$AC$190,AD11)</f>
        <v>1995.8172158752673</v>
      </c>
      <c r="AA11" s="120">
        <f t="shared" si="2"/>
        <v>3036.9001082834097</v>
      </c>
      <c r="AB11" s="134">
        <f t="shared" si="7"/>
        <v>0.60343148893050347</v>
      </c>
      <c r="AC11" s="835" t="str">
        <f t="shared" si="4"/>
        <v>ResidentialPropaneDuctless</v>
      </c>
      <c r="AD11" s="855" t="str">
        <f t="shared" si="8"/>
        <v>ResidentialPropaneDuctlessNo</v>
      </c>
      <c r="AE11" s="406" t="s">
        <v>300</v>
      </c>
      <c r="AF11" s="836" t="s">
        <v>251</v>
      </c>
      <c r="AG11" s="22"/>
      <c r="AI11" s="3"/>
      <c r="AJ11" s="22"/>
    </row>
    <row r="12" spans="2:36" x14ac:dyDescent="0.25">
      <c r="B12" s="36" t="s">
        <v>182</v>
      </c>
      <c r="C12" t="s">
        <v>138</v>
      </c>
      <c r="D12" t="s">
        <v>131</v>
      </c>
      <c r="E12" t="s">
        <v>234</v>
      </c>
      <c r="F12" s="910">
        <v>1</v>
      </c>
      <c r="G12" s="599">
        <f>IF(B12="Residential",0,Inputs!$E$103)</f>
        <v>0</v>
      </c>
      <c r="H12" s="602">
        <f>Inputs!$E$98</f>
        <v>120</v>
      </c>
      <c r="I12" s="176">
        <f>IF(C12="Electric",0,IF(C12="Oil",Inputs!$E$96,Inputs!$E$97))</f>
        <v>0</v>
      </c>
      <c r="J12" s="120">
        <f>IFERROR(INDEX(HeatPumps!$R$8:$R$19,MATCH(AC12,HeatPumps!$Z$8:$Z$19,0)),0)</f>
        <v>0</v>
      </c>
      <c r="K12" s="121">
        <f>J12*I12</f>
        <v>0</v>
      </c>
      <c r="L12" s="144">
        <f>IF(C12="Electric",Inputs!$E$100,Inputs!$E$99)</f>
        <v>0.29464000000000001</v>
      </c>
      <c r="M12" s="127">
        <f>Inputs!$E$101</f>
        <v>2.8649999999999998E-2</v>
      </c>
      <c r="N12" s="127">
        <f t="shared" si="9"/>
        <v>0.32329000000000002</v>
      </c>
      <c r="O12" s="120">
        <f>IF(B12="Residential",Inputs!$E$104,Inputs!$E$105)</f>
        <v>6360</v>
      </c>
      <c r="P12" s="849">
        <f>SUMIFS(HeatPumps!$L$9:$L$19,HeatPumps!$Z$9:$Z$19,AC12)+V12</f>
        <v>12506.716486204095</v>
      </c>
      <c r="Q12" s="120">
        <f>IF(D12="HP prior to CVEO",0,Inputs!$E$108)</f>
        <v>569</v>
      </c>
      <c r="R12" s="120">
        <f t="shared" si="10"/>
        <v>19435.716486204095</v>
      </c>
      <c r="S12" s="120">
        <f t="shared" si="11"/>
        <v>6403.3727828249221</v>
      </c>
      <c r="T12" s="155">
        <f t="shared" si="6"/>
        <v>6403.3727828249221</v>
      </c>
      <c r="U12" s="852">
        <v>2814</v>
      </c>
      <c r="V12" s="620">
        <f>-AVERAGE(HeatPumps!K12:K13)*HeatPumps!E9/HeatPumps!F9</f>
        <v>7496.7164862040954</v>
      </c>
      <c r="W12" s="620">
        <f>SUMIFS(Monthly!$W$177:$W$190,Monthly!$AC$177:$AC$190,AD12)</f>
        <v>0</v>
      </c>
      <c r="X12" s="621">
        <f t="shared" si="1"/>
        <v>11042.716486204095</v>
      </c>
      <c r="Y12" s="118">
        <f>SUMIFS(Monthly!$Y$177:$Y$190,Monthly!$AC$177:$AC$190,AD12)</f>
        <v>11042.716486204095</v>
      </c>
      <c r="Z12" s="120">
        <f>SUMIFS(Monthly!$Z$177:$Z$190,Monthly!$AC$177:$AC$190,AD12)</f>
        <v>3723.2383894483964</v>
      </c>
      <c r="AA12" s="120">
        <f t="shared" si="2"/>
        <v>2680.1343933765256</v>
      </c>
      <c r="AB12" s="134">
        <f>-(Z12/$T12-1)</f>
        <v>0.41855042401485065</v>
      </c>
      <c r="AC12" s="835" t="str">
        <f t="shared" si="4"/>
        <v>ResidentialElectricDuctless</v>
      </c>
      <c r="AD12" s="855" t="str">
        <f t="shared" si="8"/>
        <v>ResidentialElectricDuctlessNo</v>
      </c>
      <c r="AE12" s="406" t="s">
        <v>549</v>
      </c>
      <c r="AF12" s="836" t="s">
        <v>251</v>
      </c>
      <c r="AG12" s="22"/>
      <c r="AI12" s="3"/>
      <c r="AJ12" s="22"/>
    </row>
    <row r="13" spans="2:36" ht="14.45" customHeight="1" x14ac:dyDescent="0.25">
      <c r="B13" s="36" t="s">
        <v>182</v>
      </c>
      <c r="C13" t="s">
        <v>138</v>
      </c>
      <c r="D13" s="6" t="s">
        <v>721</v>
      </c>
      <c r="E13" t="s">
        <v>233</v>
      </c>
      <c r="F13" s="910">
        <v>1</v>
      </c>
      <c r="G13" s="599">
        <f>IF(B13="Residential",0,Inputs!$E$103)</f>
        <v>0</v>
      </c>
      <c r="H13" s="602">
        <f>Inputs!$E$98</f>
        <v>120</v>
      </c>
      <c r="I13" s="176">
        <f>IF(C13="Electric",0,IF(C13="Oil",Inputs!$E$96,Inputs!$E$97))</f>
        <v>0</v>
      </c>
      <c r="J13" s="120">
        <f>IFERROR(INDEX(HeatPumps!$R$8:$R$19,MATCH(AC13,HeatPumps!$Z$8:$Z$19,0)),0)</f>
        <v>0</v>
      </c>
      <c r="K13" s="121">
        <f t="shared" si="5"/>
        <v>0</v>
      </c>
      <c r="L13" s="144">
        <f>IF(C13="Electric",Inputs!$E$100,Inputs!$E$99)</f>
        <v>0.29464000000000001</v>
      </c>
      <c r="M13" s="127">
        <f>Inputs!$E$101</f>
        <v>2.8649999999999998E-2</v>
      </c>
      <c r="N13" s="127">
        <f t="shared" si="9"/>
        <v>0.32329000000000002</v>
      </c>
      <c r="O13" s="120">
        <f>IF(B13="Residential",Inputs!$E$104,Inputs!$E$105)</f>
        <v>6360</v>
      </c>
      <c r="P13" s="849">
        <f>-SUMPRODUCT(HeatPumps!L12:L13,HeatPumps!F12:F13)/SUM(HeatPumps!F12:F13)</f>
        <v>7244.9928571428563</v>
      </c>
      <c r="Q13" s="120">
        <f>IF(D13="HP prior to CVEO",0,Inputs!$E$108)</f>
        <v>0</v>
      </c>
      <c r="R13" s="120">
        <f t="shared" si="10"/>
        <v>13604.992857142857</v>
      </c>
      <c r="S13" s="120">
        <f t="shared" si="11"/>
        <v>4518.3581407857146</v>
      </c>
      <c r="T13" s="155">
        <f>K13+S13</f>
        <v>4518.3581407857146</v>
      </c>
      <c r="U13" s="852">
        <v>12769</v>
      </c>
      <c r="V13" s="620">
        <f>IF(D13="HP prior to CVEO",0,IF(C13="Electric",P13-INDEX(HeatPumps!$L$8:$L$19,MATCH(AC13,HeatPumps!$Z$8:$Z$19,0)),-INDEX(HeatPumps!$L$8:$L$19,MATCH(AC13,HeatPumps!$Z$8:$Z$19,0))))</f>
        <v>0</v>
      </c>
      <c r="W13" s="620">
        <f>SUMIFS(Monthly!$W$177:$W$190,Monthly!$AC$177:$AC$190,AD13)</f>
        <v>30.509999999999991</v>
      </c>
      <c r="X13" s="621">
        <f t="shared" si="1"/>
        <v>866.50285714285747</v>
      </c>
      <c r="Y13" s="118">
        <f>SUMIFS(Monthly!$Y$177:$Y$190,Monthly!$AC$177:$AC$190,AD13)</f>
        <v>866.50285714285803</v>
      </c>
      <c r="Z13" s="120">
        <f>SUMIFS(Monthly!$Z$177:$Z$190,Monthly!$AC$177:$AC$190,AD13)</f>
        <v>1194.0404350482081</v>
      </c>
      <c r="AA13" s="120">
        <f t="shared" si="2"/>
        <v>3324.3177057375065</v>
      </c>
      <c r="AB13" s="134">
        <f>-(Z13/$T13-1)</f>
        <v>0.73573576997582313</v>
      </c>
      <c r="AC13" s="835" t="str">
        <f t="shared" si="4"/>
        <v>ResidentialElectricHP prior to CVEO</v>
      </c>
      <c r="AD13" s="855" t="str">
        <f t="shared" si="8"/>
        <v>ResidentialElectricHP prior to CVEOYes</v>
      </c>
      <c r="AE13" s="406" t="s">
        <v>721</v>
      </c>
      <c r="AF13" s="836" t="s">
        <v>251</v>
      </c>
      <c r="AG13" s="22"/>
      <c r="AI13" s="3"/>
      <c r="AJ13" s="22"/>
    </row>
    <row r="14" spans="2:36" x14ac:dyDescent="0.25">
      <c r="B14" s="36" t="s">
        <v>117</v>
      </c>
      <c r="C14" t="s">
        <v>130</v>
      </c>
      <c r="D14" s="6" t="s">
        <v>131</v>
      </c>
      <c r="E14" t="s">
        <v>234</v>
      </c>
      <c r="F14" s="910">
        <v>4</v>
      </c>
      <c r="G14" s="599">
        <f>IF(B14="Residential",0,Inputs!$E$103)</f>
        <v>0.42</v>
      </c>
      <c r="H14" s="602">
        <f>Inputs!$E$98</f>
        <v>120</v>
      </c>
      <c r="I14" s="176">
        <f>IF(C14="Electric",0,IF(C14="Oil",Inputs!$E$96,Inputs!$E$97))</f>
        <v>3.83</v>
      </c>
      <c r="J14" s="120">
        <f>IFERROR(INDEX(HeatPumps!$R$8:$R$19,MATCH(AC14,HeatPumps!$Z$8:$Z$19,0)),0)</f>
        <v>434.87153603960866</v>
      </c>
      <c r="K14" s="121">
        <f t="shared" si="5"/>
        <v>1665.5579830317013</v>
      </c>
      <c r="L14" s="144">
        <f>IF(C14="Electric",Inputs!$E$100,Inputs!$E$99)</f>
        <v>0.30076999999999998</v>
      </c>
      <c r="M14" s="127">
        <f>Inputs!$E$101</f>
        <v>2.8649999999999998E-2</v>
      </c>
      <c r="N14" s="127">
        <f t="shared" si="9"/>
        <v>0.32941999999999999</v>
      </c>
      <c r="O14" s="120">
        <f>IF(B14="Residential",Inputs!$E$104,Inputs!$E$105)</f>
        <v>5700</v>
      </c>
      <c r="P14" s="849">
        <f>SUMIFS(HeatPumps!$L$9:$L$19,HeatPumps!$Z$9:$Z$19,AC14)+V14</f>
        <v>0</v>
      </c>
      <c r="Q14" s="120">
        <f>IF(D14="HP prior to CVEO",0,Inputs!$E$108)</f>
        <v>569</v>
      </c>
      <c r="R14" s="120">
        <f t="shared" si="10"/>
        <v>6269</v>
      </c>
      <c r="S14" s="120">
        <f t="shared" si="11"/>
        <v>1267.3777084000003</v>
      </c>
      <c r="T14" s="155">
        <f t="shared" si="6"/>
        <v>2932.9356914317013</v>
      </c>
      <c r="U14" s="852">
        <v>4700</v>
      </c>
      <c r="V14" s="620">
        <f>IF(D14="HP prior to CVEO",0,IF(C14="Electric",P14-INDEX(HeatPumps!$L$8:$L$19,MATCH(AC14,HeatPumps!$Z$8:$Z$19,0)),-INDEX(HeatPumps!$L$8:$L$19,MATCH(AC14,HeatPumps!$Z$8:$Z$19,0))))</f>
        <v>5287.416666666667</v>
      </c>
      <c r="W14" s="620">
        <f>SUMIFS(Monthly!$W$177:$W$190,Monthly!$AC$177:$AC$190,AD14)</f>
        <v>0</v>
      </c>
      <c r="X14" s="621">
        <f t="shared" si="1"/>
        <v>6287.4166666666679</v>
      </c>
      <c r="Y14" s="118">
        <f>SUMIFS(Monthly!$Y$177:$Y$190,Monthly!$AC$177:$AC$190,AD14)</f>
        <v>6287.416666666667</v>
      </c>
      <c r="Z14" s="120">
        <f>SUMIFS(Monthly!$Z$177:$Z$190,Monthly!$AC$177:$AC$190,AD14)</f>
        <v>1259.5187538333337</v>
      </c>
      <c r="AA14" s="120">
        <f t="shared" si="2"/>
        <v>1673.4169375983677</v>
      </c>
      <c r="AB14" s="134">
        <f t="shared" si="7"/>
        <v>0.57056039192645769</v>
      </c>
      <c r="AC14" s="835" t="str">
        <f t="shared" si="4"/>
        <v>Income EligibleOilDuctless</v>
      </c>
      <c r="AD14" s="855" t="str">
        <f t="shared" si="8"/>
        <v>Income EligibleOilDuctlessNo</v>
      </c>
      <c r="AE14" s="406" t="s">
        <v>299</v>
      </c>
      <c r="AF14" s="836" t="s">
        <v>301</v>
      </c>
      <c r="AG14" s="22"/>
      <c r="AI14" s="3"/>
      <c r="AJ14" s="22"/>
    </row>
    <row r="15" spans="2:36" x14ac:dyDescent="0.25">
      <c r="B15" s="36" t="s">
        <v>117</v>
      </c>
      <c r="C15" t="s">
        <v>130</v>
      </c>
      <c r="D15" s="6" t="s">
        <v>131</v>
      </c>
      <c r="E15" t="s">
        <v>233</v>
      </c>
      <c r="F15" s="910">
        <v>2</v>
      </c>
      <c r="G15" s="599">
        <f>IF(B15="Residential",0,Inputs!$E$103)</f>
        <v>0.42</v>
      </c>
      <c r="H15" s="602">
        <f>Inputs!$E$98</f>
        <v>120</v>
      </c>
      <c r="I15" s="176">
        <f>IF(C15="Electric",0,IF(C15="Oil",Inputs!$E$96,Inputs!$E$97))</f>
        <v>3.83</v>
      </c>
      <c r="J15" s="120">
        <f>IFERROR(INDEX(HeatPumps!$R$8:$R$19,MATCH(AC15,HeatPumps!$Z$8:$Z$19,0)),0)</f>
        <v>434.87153603960866</v>
      </c>
      <c r="K15" s="121">
        <f t="shared" si="5"/>
        <v>1665.5579830317013</v>
      </c>
      <c r="L15" s="144">
        <f>IF(C15="Electric",Inputs!$E$100,Inputs!$E$99)</f>
        <v>0.30076999999999998</v>
      </c>
      <c r="M15" s="127">
        <f>Inputs!$E$101</f>
        <v>2.8649999999999998E-2</v>
      </c>
      <c r="N15" s="127">
        <f t="shared" si="9"/>
        <v>0.32941999999999999</v>
      </c>
      <c r="O15" s="120">
        <f>IF(B15="Residential",Inputs!$E$104,Inputs!$E$105)</f>
        <v>5700</v>
      </c>
      <c r="P15" s="849">
        <f>SUMIFS(HeatPumps!$L$9:$L$19,HeatPumps!$Z$9:$Z$19,AC15)+V15</f>
        <v>0</v>
      </c>
      <c r="Q15" s="120">
        <f>IF(D15="HP prior to CVEO",0,Inputs!$E$108)</f>
        <v>569</v>
      </c>
      <c r="R15" s="120">
        <f t="shared" si="10"/>
        <v>6269</v>
      </c>
      <c r="S15" s="120">
        <f t="shared" si="11"/>
        <v>1267.3777084000003</v>
      </c>
      <c r="T15" s="155">
        <f t="shared" si="6"/>
        <v>2932.9356914317013</v>
      </c>
      <c r="U15" s="852">
        <v>14775.5</v>
      </c>
      <c r="V15" s="620">
        <f>IF(D15="HP prior to CVEO",0,IF(C15="Electric",P15-INDEX(HeatPumps!$L$8:$L$19,MATCH(AC15,HeatPumps!$Z$8:$Z$19,0)),-INDEX(HeatPumps!$L$8:$L$19,MATCH(AC15,HeatPumps!$Z$8:$Z$19,0))))</f>
        <v>5287.416666666667</v>
      </c>
      <c r="W15" s="620">
        <f>SUMIFS(Monthly!$W$177:$W$190,Monthly!$AC$177:$AC$190,AD15)</f>
        <v>30.509999999999991</v>
      </c>
      <c r="X15" s="621">
        <f t="shared" si="1"/>
        <v>-3757.5733333333319</v>
      </c>
      <c r="Y15" s="118">
        <f>SUMIFS(Monthly!$Y$177:$Y$190,Monthly!$AC$177:$AC$190,AD15)</f>
        <v>-3757.5733333333305</v>
      </c>
      <c r="Z15" s="120">
        <f>SUMIFS(Monthly!$Z$177:$Z$190,Monthly!$AC$177:$AC$190,AD15)</f>
        <v>107.72423167606095</v>
      </c>
      <c r="AA15" s="120">
        <f t="shared" si="2"/>
        <v>2825.2114597556406</v>
      </c>
      <c r="AB15" s="134">
        <f t="shared" si="7"/>
        <v>0.96327085111659039</v>
      </c>
      <c r="AC15" s="835" t="str">
        <f t="shared" si="4"/>
        <v>Income EligibleOilDuctless</v>
      </c>
      <c r="AD15" s="855" t="str">
        <f t="shared" si="8"/>
        <v>Income EligibleOilDuctlessYes</v>
      </c>
      <c r="AE15" s="406" t="s">
        <v>299</v>
      </c>
      <c r="AF15" s="836" t="s">
        <v>301</v>
      </c>
      <c r="AG15" s="22"/>
      <c r="AI15" s="3"/>
      <c r="AJ15" s="22"/>
    </row>
    <row r="16" spans="2:36" x14ac:dyDescent="0.25">
      <c r="B16" s="36" t="s">
        <v>117</v>
      </c>
      <c r="C16" t="s">
        <v>160</v>
      </c>
      <c r="D16" s="6" t="s">
        <v>131</v>
      </c>
      <c r="E16" t="s">
        <v>234</v>
      </c>
      <c r="F16" s="910">
        <v>12</v>
      </c>
      <c r="G16" s="599">
        <f>IF(B16="Residential",0,Inputs!$E$103)</f>
        <v>0.42</v>
      </c>
      <c r="H16" s="602">
        <f>Inputs!$E$98</f>
        <v>120</v>
      </c>
      <c r="I16" s="176">
        <f>IF(C16="Electric",0,IF(C16="Oil",Inputs!$E$96,Inputs!$E$97))</f>
        <v>3.34</v>
      </c>
      <c r="J16" s="120">
        <f>IFERROR(INDEX(HeatPumps!$R$8:$R$19,MATCH(AC16,HeatPumps!$Z$8:$Z$19,0)),0)</f>
        <v>470.47003821181829</v>
      </c>
      <c r="K16" s="121">
        <f t="shared" si="5"/>
        <v>1571.3699276274731</v>
      </c>
      <c r="L16" s="144">
        <f>IF(C16="Electric",Inputs!$E$100,Inputs!$E$99)</f>
        <v>0.30076999999999998</v>
      </c>
      <c r="M16" s="127">
        <f>Inputs!$E$101</f>
        <v>2.8649999999999998E-2</v>
      </c>
      <c r="N16" s="127">
        <f t="shared" si="9"/>
        <v>0.32941999999999999</v>
      </c>
      <c r="O16" s="120">
        <f>IF(B16="Residential",Inputs!$E$104,Inputs!$E$105)</f>
        <v>5700</v>
      </c>
      <c r="P16" s="849">
        <f>SUMIFS(HeatPumps!$L$9:$L$19,HeatPumps!$Z$9:$Z$19,AC16)+V16</f>
        <v>0</v>
      </c>
      <c r="Q16" s="120">
        <f>IF(D16="HP prior to CVEO",0,Inputs!$E$108)</f>
        <v>569</v>
      </c>
      <c r="R16" s="120">
        <f t="shared" si="10"/>
        <v>6269</v>
      </c>
      <c r="S16" s="120">
        <f t="shared" si="11"/>
        <v>1267.3777084000003</v>
      </c>
      <c r="T16" s="155">
        <f t="shared" si="6"/>
        <v>2838.7476360274732</v>
      </c>
      <c r="U16" s="852">
        <v>7336.25</v>
      </c>
      <c r="V16" s="620">
        <f>IF(D16="HP prior to CVEO",0,IF(C16="Electric",P16-INDEX(HeatPumps!$L$8:$L$19,MATCH(AC16,HeatPumps!$Z$8:$Z$19,0)),-INDEX(HeatPumps!$L$8:$L$19,MATCH(AC16,HeatPumps!$Z$8:$Z$19,0))))</f>
        <v>4047.0066666666667</v>
      </c>
      <c r="W16" s="620">
        <f>SUMIFS(Monthly!$W$177:$W$190,Monthly!$AC$177:$AC$190,AD16)</f>
        <v>0</v>
      </c>
      <c r="X16" s="621">
        <f t="shared" si="1"/>
        <v>2410.7566666666662</v>
      </c>
      <c r="Y16" s="118">
        <f>SUMIFS(Monthly!$Y$177:$Y$190,Monthly!$AC$177:$AC$190,AD16)</f>
        <v>2410.756666666668</v>
      </c>
      <c r="Z16" s="120">
        <f>SUMIFS(Monthly!$Z$177:$Z$190,Monthly!$AC$177:$AC$190,AD16)</f>
        <v>620.71117746952211</v>
      </c>
      <c r="AA16" s="120">
        <f t="shared" si="2"/>
        <v>2218.0364585579509</v>
      </c>
      <c r="AB16" s="134">
        <f t="shared" si="7"/>
        <v>0.78134330449389933</v>
      </c>
      <c r="AC16" s="835" t="str">
        <f t="shared" si="4"/>
        <v>Income EligiblePropaneDuctless</v>
      </c>
      <c r="AD16" s="855" t="str">
        <f t="shared" si="8"/>
        <v>Income EligiblePropaneDuctlessNo</v>
      </c>
      <c r="AE16" s="406" t="s">
        <v>300</v>
      </c>
      <c r="AF16" s="836" t="s">
        <v>301</v>
      </c>
      <c r="AG16" s="22"/>
      <c r="AI16" s="3"/>
      <c r="AJ16" s="22"/>
    </row>
    <row r="17" spans="2:36" x14ac:dyDescent="0.25">
      <c r="B17" s="36" t="s">
        <v>117</v>
      </c>
      <c r="C17" t="s">
        <v>160</v>
      </c>
      <c r="D17" s="6" t="s">
        <v>131</v>
      </c>
      <c r="E17" t="s">
        <v>233</v>
      </c>
      <c r="F17" s="910">
        <v>3</v>
      </c>
      <c r="G17" s="599">
        <f>IF(B17="Residential",0,Inputs!$E$103)</f>
        <v>0.42</v>
      </c>
      <c r="H17" s="602">
        <f>Inputs!$E$98</f>
        <v>120</v>
      </c>
      <c r="I17" s="176">
        <f>IF(C17="Electric",0,IF(C17="Oil",Inputs!$E$96,Inputs!$E$97))</f>
        <v>3.34</v>
      </c>
      <c r="J17" s="120">
        <f>IFERROR(INDEX(HeatPumps!$R$8:$R$19,MATCH(AC17,HeatPumps!$Z$8:$Z$19,0)),0)</f>
        <v>470.47003821181829</v>
      </c>
      <c r="K17" s="121">
        <f t="shared" si="5"/>
        <v>1571.3699276274731</v>
      </c>
      <c r="L17" s="144">
        <f>IF(C17="Electric",Inputs!$E$100,Inputs!$E$99)</f>
        <v>0.30076999999999998</v>
      </c>
      <c r="M17" s="127">
        <f>Inputs!$E$101</f>
        <v>2.8649999999999998E-2</v>
      </c>
      <c r="N17" s="127">
        <f t="shared" si="9"/>
        <v>0.32941999999999999</v>
      </c>
      <c r="O17" s="120">
        <f>IF(B17="Residential",Inputs!$E$104,Inputs!$E$105)</f>
        <v>5700</v>
      </c>
      <c r="P17" s="849">
        <f>SUMIFS(HeatPumps!$L$9:$L$19,HeatPumps!$Z$9:$Z$19,AC17)+V17</f>
        <v>0</v>
      </c>
      <c r="Q17" s="120">
        <f>IF(D17="HP prior to CVEO",0,Inputs!$E$108)</f>
        <v>569</v>
      </c>
      <c r="R17" s="120">
        <f t="shared" si="10"/>
        <v>6269</v>
      </c>
      <c r="S17" s="120">
        <f t="shared" si="11"/>
        <v>1267.3777084000003</v>
      </c>
      <c r="T17" s="155">
        <f t="shared" si="6"/>
        <v>2838.7476360274732</v>
      </c>
      <c r="U17" s="852">
        <v>11527.666666666666</v>
      </c>
      <c r="V17" s="620">
        <f>IF(D17="HP prior to CVEO",0,IF(C17="Electric",P17-INDEX(HeatPumps!$L$8:$L$19,MATCH(AC17,HeatPumps!$Z$8:$Z$19,0)),-INDEX(HeatPumps!$L$8:$L$19,MATCH(AC17,HeatPumps!$Z$8:$Z$19,0))))</f>
        <v>4047.0066666666667</v>
      </c>
      <c r="W17" s="620">
        <f>SUMIFS(Monthly!$W$177:$W$190,Monthly!$AC$177:$AC$190,AD17)</f>
        <v>30.509999999999991</v>
      </c>
      <c r="X17" s="621">
        <f t="shared" si="1"/>
        <v>-1750.1499999999996</v>
      </c>
      <c r="Y17" s="118">
        <f>SUMIFS(Monthly!$Y$177:$Y$190,Monthly!$AC$177:$AC$190,AD17)</f>
        <v>-1750.1499999999974</v>
      </c>
      <c r="Z17" s="120">
        <f>SUMIFS(Monthly!$Z$177:$Z$190,Monthly!$AC$177:$AC$190,AD17)</f>
        <v>209.98072298313491</v>
      </c>
      <c r="AA17" s="120">
        <f t="shared" si="2"/>
        <v>2628.7669130443383</v>
      </c>
      <c r="AB17" s="134">
        <f t="shared" si="7"/>
        <v>0.92603050714399515</v>
      </c>
      <c r="AC17" s="835" t="str">
        <f t="shared" si="4"/>
        <v>Income EligiblePropaneDuctless</v>
      </c>
      <c r="AD17" s="855" t="str">
        <f t="shared" si="8"/>
        <v>Income EligiblePropaneDuctlessYes</v>
      </c>
      <c r="AE17" s="406" t="s">
        <v>300</v>
      </c>
      <c r="AF17" s="836" t="s">
        <v>301</v>
      </c>
      <c r="AG17" s="22"/>
      <c r="AI17" s="3"/>
      <c r="AJ17" s="22"/>
    </row>
    <row r="18" spans="2:36" x14ac:dyDescent="0.25">
      <c r="B18" s="36" t="s">
        <v>117</v>
      </c>
      <c r="C18" t="s">
        <v>160</v>
      </c>
      <c r="D18" s="6" t="s">
        <v>159</v>
      </c>
      <c r="E18" t="s">
        <v>234</v>
      </c>
      <c r="F18" s="910">
        <v>7</v>
      </c>
      <c r="G18" s="599">
        <f>IF(B18="Residential",0,Inputs!$E$103)</f>
        <v>0.42</v>
      </c>
      <c r="H18" s="602">
        <f>Inputs!$E$98</f>
        <v>120</v>
      </c>
      <c r="I18" s="176">
        <f>IF(C18="Electric",0,IF(C18="Oil",Inputs!$E$96,Inputs!$E$97))</f>
        <v>3.34</v>
      </c>
      <c r="J18" s="120">
        <f>IFERROR(INDEX(HeatPumps!$R$8:$R$19,MATCH(AC18,HeatPumps!$Z$8:$Z$19,0)),0)</f>
        <v>306.25763493401695</v>
      </c>
      <c r="K18" s="121">
        <f t="shared" si="5"/>
        <v>1022.9005006796166</v>
      </c>
      <c r="L18" s="144">
        <f>IF(C18="Electric",Inputs!$E$100,Inputs!$E$99)</f>
        <v>0.30076999999999998</v>
      </c>
      <c r="M18" s="127">
        <f>Inputs!$E$101</f>
        <v>2.8649999999999998E-2</v>
      </c>
      <c r="N18" s="127">
        <f t="shared" si="9"/>
        <v>0.32941999999999999</v>
      </c>
      <c r="O18" s="120">
        <f>IF(B18="Residential",Inputs!$E$104,Inputs!$E$105)</f>
        <v>5700</v>
      </c>
      <c r="P18" s="849">
        <f>SUMIFS(HeatPumps!$L$9:$L$19,HeatPumps!$Z$9:$Z$19,AC18)+V18</f>
        <v>0</v>
      </c>
      <c r="Q18" s="120">
        <f>IF(D18="HP prior to CVEO",0,Inputs!$E$108)</f>
        <v>569</v>
      </c>
      <c r="R18" s="120">
        <f t="shared" si="10"/>
        <v>6269</v>
      </c>
      <c r="S18" s="120">
        <f t="shared" si="11"/>
        <v>1267.3777084000003</v>
      </c>
      <c r="T18" s="155">
        <f t="shared" si="6"/>
        <v>2290.2782090796168</v>
      </c>
      <c r="U18" s="852">
        <v>5239.7142857142853</v>
      </c>
      <c r="V18" s="620">
        <f>IF(D18="HP prior to CVEO",0,IF(C18="Electric",P18-INDEX(HeatPumps!$L$8:$L$19,MATCH(AC18,HeatPumps!$Z$8:$Z$19,0)),-INDEX(HeatPumps!$L$8:$L$19,MATCH(AC18,HeatPumps!$Z$8:$Z$19,0))))</f>
        <v>2369.7142857142858</v>
      </c>
      <c r="W18" s="620">
        <f>SUMIFS(Monthly!$W$177:$W$190,Monthly!$AC$177:$AC$190,AD18)</f>
        <v>0</v>
      </c>
      <c r="X18" s="621">
        <f t="shared" si="1"/>
        <v>2830.0000000000009</v>
      </c>
      <c r="Y18" s="118">
        <f>SUMIFS(Monthly!$Y$177:$Y$190,Monthly!$AC$177:$AC$190,AD18)</f>
        <v>2830.0000000000014</v>
      </c>
      <c r="Z18" s="120">
        <f>SUMIFS(Monthly!$Z$177:$Z$190,Monthly!$AC$177:$AC$190,AD18)</f>
        <v>616.66913244578188</v>
      </c>
      <c r="AA18" s="120">
        <f t="shared" si="2"/>
        <v>1673.6090766338348</v>
      </c>
      <c r="AB18" s="134">
        <f t="shared" si="7"/>
        <v>0.73074488068696253</v>
      </c>
      <c r="AC18" s="835" t="str">
        <f t="shared" si="4"/>
        <v>Income EligiblePropaneDucted</v>
      </c>
      <c r="AD18" s="855" t="str">
        <f t="shared" si="8"/>
        <v>Income EligiblePropaneDuctedNo</v>
      </c>
      <c r="AE18" s="406" t="s">
        <v>550</v>
      </c>
      <c r="AF18" s="836" t="s">
        <v>301</v>
      </c>
      <c r="AG18" s="22"/>
      <c r="AI18" s="3"/>
      <c r="AJ18" s="22"/>
    </row>
    <row r="19" spans="2:36" x14ac:dyDescent="0.25">
      <c r="B19" s="36" t="s">
        <v>117</v>
      </c>
      <c r="C19" t="s">
        <v>138</v>
      </c>
      <c r="D19" s="6" t="s">
        <v>131</v>
      </c>
      <c r="E19" t="s">
        <v>234</v>
      </c>
      <c r="F19" s="910">
        <v>1</v>
      </c>
      <c r="G19" s="599">
        <f>IF(B19="Residential",0,Inputs!$E$103)</f>
        <v>0.42</v>
      </c>
      <c r="H19" s="602">
        <f>Inputs!$E$98</f>
        <v>120</v>
      </c>
      <c r="I19" s="176">
        <f>IF(C19="Electric",0,IF(C19="Oil",Inputs!$E$96,Inputs!$E$97))</f>
        <v>0</v>
      </c>
      <c r="J19" s="120">
        <f>IFERROR(INDEX(HeatPumps!$R$8:$R$19,MATCH(AC19,HeatPumps!$Z$8:$Z$19,0)),0)</f>
        <v>0</v>
      </c>
      <c r="K19" s="121">
        <f t="shared" si="5"/>
        <v>0</v>
      </c>
      <c r="L19" s="144">
        <f>IF(C19="Electric",Inputs!$E$100,Inputs!$E$99)</f>
        <v>0.29464000000000001</v>
      </c>
      <c r="M19" s="127">
        <f>Inputs!$E$101</f>
        <v>2.8649999999999998E-2</v>
      </c>
      <c r="N19" s="127">
        <f t="shared" si="9"/>
        <v>0.32329000000000002</v>
      </c>
      <c r="O19" s="120">
        <f>IF(B19="Residential",Inputs!$E$104,Inputs!$E$105)</f>
        <v>5700</v>
      </c>
      <c r="P19" s="849">
        <f>SUMIFS(HeatPumps!$L$9:$L$19,HeatPumps!$Z$9:$Z$19,AC19)+V19</f>
        <v>8904.393835352821</v>
      </c>
      <c r="Q19" s="120">
        <f>IF(D19="HP prior to CVEO",0,Inputs!$E$108)</f>
        <v>569</v>
      </c>
      <c r="R19" s="120">
        <f t="shared" si="10"/>
        <v>15173.393835352821</v>
      </c>
      <c r="S19" s="120">
        <f t="shared" si="11"/>
        <v>2914.7357659581048</v>
      </c>
      <c r="T19" s="155">
        <f t="shared" si="6"/>
        <v>2914.7357659581048</v>
      </c>
      <c r="U19" s="852">
        <v>11840</v>
      </c>
      <c r="V19" s="620">
        <f>-AVERAGE(HeatPumps!K17:K19)*HeatPumps!E15/HeatPumps!F15</f>
        <v>3693.3938353528215</v>
      </c>
      <c r="W19" s="620">
        <f>SUMIFS(Monthly!$W$177:$W$190,Monthly!$AC$177:$AC$190,AD19)</f>
        <v>0</v>
      </c>
      <c r="X19" s="621">
        <f t="shared" si="1"/>
        <v>-2446.606164647179</v>
      </c>
      <c r="Y19" s="118">
        <f>SUMIFS(Monthly!$Y$177:$Y$190,Monthly!$AC$177:$AC$190,AD19)</f>
        <v>-2446.6061646471771</v>
      </c>
      <c r="Z19" s="120">
        <f>SUMIFS(Monthly!$Z$177:$Z$190,Monthly!$AC$177:$AC$190,AD19)</f>
        <v>134.08822287109791</v>
      </c>
      <c r="AA19" s="120">
        <f t="shared" si="2"/>
        <v>2780.6475430870069</v>
      </c>
      <c r="AB19" s="134">
        <f t="shared" si="7"/>
        <v>0.95399643959595026</v>
      </c>
      <c r="AC19" s="835" t="str">
        <f t="shared" si="4"/>
        <v>Income EligibleElectricDuctless</v>
      </c>
      <c r="AD19" s="855" t="str">
        <f t="shared" si="8"/>
        <v>Income EligibleElectricDuctlessNo</v>
      </c>
      <c r="AE19" s="406" t="s">
        <v>549</v>
      </c>
      <c r="AF19" s="836" t="s">
        <v>301</v>
      </c>
      <c r="AG19" s="22"/>
      <c r="AI19" s="3"/>
      <c r="AJ19" s="22"/>
    </row>
    <row r="20" spans="2:36" ht="14.45" customHeight="1" x14ac:dyDescent="0.25">
      <c r="B20" s="36" t="s">
        <v>117</v>
      </c>
      <c r="C20" t="s">
        <v>138</v>
      </c>
      <c r="D20" s="6" t="s">
        <v>131</v>
      </c>
      <c r="E20" t="s">
        <v>233</v>
      </c>
      <c r="F20" s="910">
        <v>1</v>
      </c>
      <c r="G20" s="599">
        <f>IF(B20="Residential",0,Inputs!$E$103)</f>
        <v>0.42</v>
      </c>
      <c r="H20" s="602">
        <f>Inputs!$E$98</f>
        <v>120</v>
      </c>
      <c r="I20" s="176">
        <f>IF(C20="Electric",0,IF(C20="Oil",Inputs!$E$96,Inputs!$E$97))</f>
        <v>0</v>
      </c>
      <c r="J20" s="120">
        <f>IFERROR(INDEX(HeatPumps!$R$8:$R$19,MATCH(AC20,HeatPumps!$Z$8:$Z$19,0)),0)</f>
        <v>0</v>
      </c>
      <c r="K20" s="121">
        <f t="shared" si="5"/>
        <v>0</v>
      </c>
      <c r="L20" s="144">
        <f>IF(C20="Electric",Inputs!$E$100,Inputs!$E$99)</f>
        <v>0.29464000000000001</v>
      </c>
      <c r="M20" s="127">
        <f>Inputs!$E$101</f>
        <v>2.8649999999999998E-2</v>
      </c>
      <c r="N20" s="127">
        <f t="shared" si="9"/>
        <v>0.32329000000000002</v>
      </c>
      <c r="O20" s="120">
        <f>IF(B20="Residential",Inputs!$E$104,Inputs!$E$105)</f>
        <v>5700</v>
      </c>
      <c r="P20" s="849">
        <f>SUMIFS(HeatPumps!$L$9:$L$19,HeatPumps!$Z$9:$Z$19,AC20)+V20</f>
        <v>8904.393835352821</v>
      </c>
      <c r="Q20" s="120">
        <f>IF(D20="HP prior to CVEO",0,Inputs!$E$108)</f>
        <v>569</v>
      </c>
      <c r="R20" s="120">
        <f t="shared" si="10"/>
        <v>15173.393835352821</v>
      </c>
      <c r="S20" s="120">
        <f t="shared" si="11"/>
        <v>2914.7357659581048</v>
      </c>
      <c r="T20" s="155">
        <f t="shared" si="6"/>
        <v>2914.7357659581048</v>
      </c>
      <c r="U20" s="852">
        <v>6058</v>
      </c>
      <c r="V20" s="620">
        <f>-AVERAGE(HeatPumps!K17:K19)*HeatPumps!E15/HeatPumps!F15</f>
        <v>3693.3938353528215</v>
      </c>
      <c r="W20" s="620">
        <f>SUMIFS(Monthly!$W$177:$W$190,Monthly!$AC$177:$AC$190,AD20)</f>
        <v>30.509999999999991</v>
      </c>
      <c r="X20" s="621">
        <f t="shared" si="1"/>
        <v>3365.9038353528213</v>
      </c>
      <c r="Y20" s="118">
        <f>SUMIFS(Monthly!$Y$177:$Y$190,Monthly!$AC$177:$AC$190,AD20)</f>
        <v>3365.9038353528222</v>
      </c>
      <c r="Z20" s="120">
        <f>SUMIFS(Monthly!$Z$177:$Z$190,Monthly!$AC$177:$AC$190,AD20)</f>
        <v>727.43600097651074</v>
      </c>
      <c r="AA20" s="120">
        <f t="shared" si="2"/>
        <v>2187.2997649815943</v>
      </c>
      <c r="AB20" s="134">
        <f t="shared" si="7"/>
        <v>0.75042814876311958</v>
      </c>
      <c r="AC20" s="835" t="str">
        <f t="shared" si="4"/>
        <v>Income EligibleElectricDuctless</v>
      </c>
      <c r="AD20" s="855" t="str">
        <f t="shared" si="8"/>
        <v>Income EligibleElectricDuctlessYes</v>
      </c>
      <c r="AE20" s="406" t="s">
        <v>549</v>
      </c>
      <c r="AF20" s="836" t="s">
        <v>301</v>
      </c>
      <c r="AG20" s="22"/>
      <c r="AI20" s="3"/>
      <c r="AJ20" s="22"/>
    </row>
    <row r="21" spans="2:36" x14ac:dyDescent="0.25">
      <c r="B21" s="36" t="s">
        <v>117</v>
      </c>
      <c r="C21" t="s">
        <v>138</v>
      </c>
      <c r="D21" s="6" t="s">
        <v>721</v>
      </c>
      <c r="E21" t="s">
        <v>234</v>
      </c>
      <c r="F21" s="910">
        <v>6</v>
      </c>
      <c r="G21" s="599">
        <f>IF(B21="Residential",0,Inputs!$E$103)</f>
        <v>0.42</v>
      </c>
      <c r="H21" s="602">
        <f>Inputs!$E$98</f>
        <v>120</v>
      </c>
      <c r="I21" s="176">
        <f>IF(C21="Electric",0,IF(C21="Oil",Inputs!$E$96,Inputs!$E$97))</f>
        <v>0</v>
      </c>
      <c r="J21" s="120">
        <f>IFERROR(INDEX(HeatPumps!$R$8:$R$19,MATCH(AC21,HeatPumps!$Z$8:$Z$19,0)),0)</f>
        <v>0</v>
      </c>
      <c r="K21" s="121">
        <f t="shared" si="5"/>
        <v>0</v>
      </c>
      <c r="L21" s="144">
        <f>IF(C21="Electric",Inputs!$E$100,Inputs!$E$99)</f>
        <v>0.29464000000000001</v>
      </c>
      <c r="M21" s="127">
        <f>Inputs!$E$101</f>
        <v>2.8649999999999998E-2</v>
      </c>
      <c r="N21" s="127">
        <f t="shared" si="9"/>
        <v>0.32329000000000002</v>
      </c>
      <c r="O21" s="120">
        <f>IF(B21="Residential",Inputs!$E$104,Inputs!$E$105)</f>
        <v>5700</v>
      </c>
      <c r="P21" s="849">
        <f>-SUMPRODUCT(HeatPumps!L17:L19,HeatPumps!F17:F19)/SUM(HeatPumps!F17:F19)</f>
        <v>3893.4857142857145</v>
      </c>
      <c r="Q21" s="120">
        <f>IF(D21="HP prior to CVEO",0,Inputs!$E$108)</f>
        <v>0</v>
      </c>
      <c r="R21" s="120">
        <f t="shared" si="10"/>
        <v>9593.4857142857145</v>
      </c>
      <c r="S21" s="120">
        <f t="shared" si="11"/>
        <v>1868.4572380114289</v>
      </c>
      <c r="T21" s="155">
        <f t="shared" si="6"/>
        <v>1868.4572380114289</v>
      </c>
      <c r="U21" s="852">
        <v>6831.5</v>
      </c>
      <c r="V21" s="620">
        <f>IF(D21="HP prior to CVEO",0,IF(C21="Electric",P21-INDEX(HeatPumps!$L$8:$L$19,MATCH(AC21,HeatPumps!$Z$8:$Z$19,0)),-INDEX(HeatPumps!$L$8:$L$19,MATCH(AC21,HeatPumps!$Z$8:$Z$19,0))))</f>
        <v>0</v>
      </c>
      <c r="W21" s="620">
        <f>SUMIFS(Monthly!$W$177:$W$190,Monthly!$AC$177:$AC$190,AD21)</f>
        <v>0</v>
      </c>
      <c r="X21" s="621">
        <f t="shared" si="1"/>
        <v>2761.9857142857145</v>
      </c>
      <c r="Y21" s="118">
        <f>SUMIFS(Monthly!$Y$177:$Y$190,Monthly!$AC$177:$AC$190,AD21)</f>
        <v>2761.9857142857154</v>
      </c>
      <c r="Z21" s="120">
        <f>SUMIFS(Monthly!$Z$177:$Z$190,Monthly!$AC$177:$AC$190,AD21)</f>
        <v>654.76370606879971</v>
      </c>
      <c r="AA21" s="120">
        <f t="shared" si="2"/>
        <v>1213.6935319426293</v>
      </c>
      <c r="AB21" s="134">
        <f t="shared" si="7"/>
        <v>0.64956987361099316</v>
      </c>
      <c r="AC21" s="835" t="str">
        <f t="shared" si="4"/>
        <v>Income EligibleElectricHP prior to CVEO</v>
      </c>
      <c r="AD21" s="855" t="str">
        <f t="shared" si="8"/>
        <v>Income EligibleElectricHP prior to CVEONo</v>
      </c>
      <c r="AE21" s="406" t="s">
        <v>721</v>
      </c>
      <c r="AF21" s="836" t="s">
        <v>301</v>
      </c>
      <c r="AG21" s="22"/>
      <c r="AI21" s="3"/>
      <c r="AJ21" s="22"/>
    </row>
    <row r="22" spans="2:36" ht="14.45" customHeight="1" x14ac:dyDescent="0.25">
      <c r="B22" s="25" t="s">
        <v>117</v>
      </c>
      <c r="C22" s="1" t="s">
        <v>138</v>
      </c>
      <c r="D22" s="880" t="s">
        <v>721</v>
      </c>
      <c r="E22" s="1" t="s">
        <v>233</v>
      </c>
      <c r="F22" s="911">
        <v>3</v>
      </c>
      <c r="G22" s="600">
        <f>IF(B22="Residential",0,Inputs!$E$103)</f>
        <v>0.42</v>
      </c>
      <c r="H22" s="603">
        <f>Inputs!$E$98</f>
        <v>120</v>
      </c>
      <c r="I22" s="177">
        <f>IF(C22="Electric",0,IF(C22="Oil",Inputs!$E$96,Inputs!$E$97))</f>
        <v>0</v>
      </c>
      <c r="J22" s="124">
        <f>IFERROR(INDEX(HeatPumps!$R$8:$R$19,MATCH(AC22,HeatPumps!$Z$8:$Z$19,0)),0)</f>
        <v>0</v>
      </c>
      <c r="K22" s="125">
        <f t="shared" si="5"/>
        <v>0</v>
      </c>
      <c r="L22" s="146">
        <f>IF(C22="Electric",Inputs!$E$100,Inputs!$E$99)</f>
        <v>0.29464000000000001</v>
      </c>
      <c r="M22" s="145">
        <f>Inputs!$E$101</f>
        <v>2.8649999999999998E-2</v>
      </c>
      <c r="N22" s="145">
        <f t="shared" si="9"/>
        <v>0.32329000000000002</v>
      </c>
      <c r="O22" s="124">
        <f>IF(B22="Residential",Inputs!$E$104,Inputs!$E$105)</f>
        <v>5700</v>
      </c>
      <c r="P22" s="884">
        <f>-SUMPRODUCT(HeatPumps!L17:L19,HeatPumps!F17:F19)/SUM(HeatPumps!F17:F19)</f>
        <v>3893.4857142857145</v>
      </c>
      <c r="Q22" s="124">
        <f>IF(D22="HP prior to CVEO",0,Inputs!$E$108)</f>
        <v>0</v>
      </c>
      <c r="R22" s="124">
        <f t="shared" si="10"/>
        <v>9593.4857142857145</v>
      </c>
      <c r="S22" s="124">
        <f t="shared" si="11"/>
        <v>1868.4572380114289</v>
      </c>
      <c r="T22" s="156">
        <f t="shared" si="6"/>
        <v>1868.4572380114289</v>
      </c>
      <c r="U22" s="853">
        <v>12408</v>
      </c>
      <c r="V22" s="884">
        <f>IF(D22="HP prior to CVEO",0,IF(C22="Electric",P22-INDEX(HeatPumps!$L$8:$L$19,MATCH(AC22,HeatPumps!$Z$8:$Z$19,0)),-INDEX(HeatPumps!$L$8:$L$19,MATCH(AC22,HeatPumps!$Z$8:$Z$19,0))))</f>
        <v>0</v>
      </c>
      <c r="W22" s="872">
        <f>SUMIFS(Monthly!$W$177:$W$190,Monthly!$AC$177:$AC$190,AD22)</f>
        <v>30.509999999999991</v>
      </c>
      <c r="X22" s="883">
        <f t="shared" si="1"/>
        <v>-2784.0042857142853</v>
      </c>
      <c r="Y22" s="123">
        <f>SUMIFS(Monthly!$Y$177:$Y$190,Monthly!$AC$177:$AC$190,AD22)</f>
        <v>-2784.0042857142844</v>
      </c>
      <c r="Z22" s="26">
        <f>SUMIFS(Monthly!$Z$177:$Z$190,Monthly!$AC$177:$AC$190,AD22)</f>
        <v>115.56410249174941</v>
      </c>
      <c r="AA22" s="124">
        <f t="shared" si="2"/>
        <v>1752.8931355196794</v>
      </c>
      <c r="AB22" s="854">
        <f t="shared" si="7"/>
        <v>0.93814998805391847</v>
      </c>
      <c r="AC22" s="837" t="str">
        <f t="shared" si="4"/>
        <v>Income EligibleElectricHP prior to CVEO</v>
      </c>
      <c r="AD22" s="856" t="str">
        <f t="shared" si="8"/>
        <v>Income EligibleElectricHP prior to CVEOYes</v>
      </c>
      <c r="AE22" s="839" t="s">
        <v>721</v>
      </c>
      <c r="AF22" s="838" t="s">
        <v>301</v>
      </c>
      <c r="AG22" s="22"/>
      <c r="AI22" s="3"/>
      <c r="AJ22" s="22"/>
    </row>
    <row r="23" spans="2:36" x14ac:dyDescent="0.25">
      <c r="D23" s="6"/>
      <c r="G23" s="127"/>
      <c r="J23" s="128"/>
      <c r="S23" s="22"/>
      <c r="T23" s="22"/>
      <c r="U23" s="22" t="s">
        <v>27</v>
      </c>
      <c r="V23" s="6"/>
      <c r="AG23" s="22"/>
    </row>
    <row r="24" spans="2:36" x14ac:dyDescent="0.25">
      <c r="G24" s="7" t="s">
        <v>33</v>
      </c>
      <c r="P24" s="394"/>
      <c r="V24" s="6"/>
      <c r="X24" s="22"/>
      <c r="Y24" s="22"/>
      <c r="AF24" s="58" t="s">
        <v>27</v>
      </c>
    </row>
    <row r="25" spans="2:36" x14ac:dyDescent="0.25">
      <c r="G25" t="s">
        <v>556</v>
      </c>
      <c r="V25" s="394"/>
      <c r="W25" s="394"/>
    </row>
    <row r="26" spans="2:36" ht="15" customHeight="1" x14ac:dyDescent="0.25">
      <c r="G26" s="1119" t="s">
        <v>554</v>
      </c>
      <c r="H26" s="1119"/>
      <c r="I26" s="1119"/>
      <c r="J26" s="1119"/>
      <c r="K26" s="1119"/>
      <c r="L26" s="1119"/>
      <c r="M26" s="1119"/>
      <c r="N26" s="1119"/>
      <c r="O26" s="1119"/>
      <c r="P26" s="1119"/>
      <c r="Q26" s="1119"/>
      <c r="R26" s="1119"/>
      <c r="S26" s="1119"/>
      <c r="T26" s="1119"/>
      <c r="V26" s="394"/>
      <c r="W26" s="394"/>
      <c r="AB26" t="s">
        <v>27</v>
      </c>
    </row>
    <row r="27" spans="2:36" ht="15" customHeight="1" x14ac:dyDescent="0.25">
      <c r="C27" s="377"/>
      <c r="D27" s="377"/>
      <c r="E27" s="377"/>
      <c r="F27" s="377"/>
      <c r="G27" s="1119"/>
      <c r="H27" s="1119"/>
      <c r="I27" s="1119"/>
      <c r="J27" s="1119"/>
      <c r="K27" s="1119"/>
      <c r="L27" s="1119"/>
      <c r="M27" s="1119"/>
      <c r="N27" s="1119"/>
      <c r="O27" s="1119"/>
      <c r="P27" s="1119"/>
      <c r="Q27" s="1119"/>
      <c r="R27" s="1119"/>
      <c r="S27" s="1119"/>
      <c r="T27" s="1119"/>
    </row>
    <row r="28" spans="2:36" x14ac:dyDescent="0.25">
      <c r="B28" s="377"/>
      <c r="C28" s="377"/>
      <c r="D28" s="377"/>
      <c r="E28" s="377"/>
      <c r="F28" s="377"/>
      <c r="G28" s="1119"/>
      <c r="H28" s="1119"/>
      <c r="I28" s="1119"/>
      <c r="J28" s="1119"/>
      <c r="K28" s="1119"/>
      <c r="L28" s="1119"/>
      <c r="M28" s="1119"/>
      <c r="N28" s="1119"/>
      <c r="O28" s="1119"/>
      <c r="P28" s="1119"/>
      <c r="Q28" s="1119"/>
      <c r="R28" s="1119"/>
      <c r="S28" s="1119"/>
      <c r="T28" s="1119"/>
    </row>
    <row r="29" spans="2:36" x14ac:dyDescent="0.25">
      <c r="P29" s="58"/>
      <c r="T29" t="s">
        <v>27</v>
      </c>
      <c r="V29" s="86"/>
      <c r="W29" s="86"/>
      <c r="X29" t="s">
        <v>27</v>
      </c>
    </row>
    <row r="30" spans="2:36" x14ac:dyDescent="0.25">
      <c r="F30" s="16"/>
      <c r="P30" s="22"/>
      <c r="S30" t="s">
        <v>27</v>
      </c>
    </row>
    <row r="51" spans="11:14" x14ac:dyDescent="0.25">
      <c r="K51" t="s">
        <v>27</v>
      </c>
    </row>
    <row r="55" spans="11:14" x14ac:dyDescent="0.25">
      <c r="N55" s="385"/>
    </row>
    <row r="56" spans="11:14" x14ac:dyDescent="0.25">
      <c r="N56" s="385"/>
    </row>
  </sheetData>
  <mergeCells count="11">
    <mergeCell ref="U5:AB5"/>
    <mergeCell ref="I6:K6"/>
    <mergeCell ref="T6:T7"/>
    <mergeCell ref="Y6:AB6"/>
    <mergeCell ref="L6:S6"/>
    <mergeCell ref="I5:T5"/>
    <mergeCell ref="D7:D8"/>
    <mergeCell ref="C7:C8"/>
    <mergeCell ref="G6:H6"/>
    <mergeCell ref="U6:X6"/>
    <mergeCell ref="G26:T28"/>
  </mergeCells>
  <pageMargins left="0.7" right="0.7" top="0.75" bottom="0.75" header="0.3" footer="0.3"/>
  <pageSetup scale="50" orientation="landscape" r:id="rId1"/>
  <colBreaks count="1" manualBreakCount="1">
    <brk id="20" min="1" max="2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A682-E0DF-40DA-93FF-C20D435CF65A}">
  <sheetPr codeName="Sheet13">
    <tabColor theme="4" tint="0.79998168889431442"/>
  </sheetPr>
  <dimension ref="B1:AJ225"/>
  <sheetViews>
    <sheetView showGridLines="0" zoomScale="85" zoomScaleNormal="85" workbookViewId="0"/>
  </sheetViews>
  <sheetFormatPr defaultRowHeight="15" x14ac:dyDescent="0.25"/>
  <cols>
    <col min="1" max="1" width="2.7109375" customWidth="1"/>
    <col min="2" max="2" width="17.28515625" customWidth="1"/>
    <col min="3" max="3" width="14" bestFit="1" customWidth="1"/>
    <col min="4" max="4" width="16" bestFit="1" customWidth="1"/>
    <col min="5" max="5" width="10.140625" customWidth="1"/>
    <col min="6" max="6" width="10.85546875" bestFit="1" customWidth="1"/>
    <col min="7" max="7" width="10.5703125" bestFit="1" customWidth="1"/>
    <col min="8" max="8" width="10.85546875" customWidth="1"/>
    <col min="9" max="9" width="14" customWidth="1"/>
    <col min="10" max="10" width="13.140625" customWidth="1"/>
    <col min="11" max="13" width="10.85546875" customWidth="1"/>
    <col min="14" max="14" width="14.42578125" bestFit="1" customWidth="1"/>
    <col min="15" max="15" width="12.7109375" customWidth="1"/>
    <col min="16" max="16" width="15.140625" customWidth="1"/>
    <col min="17" max="17" width="10" bestFit="1" customWidth="1"/>
    <col min="18" max="18" width="11.85546875" customWidth="1"/>
    <col min="19" max="19" width="14" customWidth="1"/>
    <col min="20" max="20" width="14" bestFit="1" customWidth="1"/>
    <col min="21" max="22" width="13.85546875" customWidth="1"/>
    <col min="23" max="23" width="15.85546875" bestFit="1" customWidth="1"/>
    <col min="24" max="24" width="13.7109375" customWidth="1"/>
    <col min="25" max="25" width="13.85546875" bestFit="1" customWidth="1"/>
    <col min="26" max="26" width="10.28515625" bestFit="1" customWidth="1"/>
    <col min="27" max="28" width="10.28515625" customWidth="1"/>
    <col min="29" max="29" width="30.140625" bestFit="1" customWidth="1"/>
    <col min="30" max="31" width="2.7109375" customWidth="1"/>
    <col min="32" max="32" width="8.85546875" style="126" customWidth="1"/>
    <col min="34" max="34" width="12.7109375" customWidth="1"/>
  </cols>
  <sheetData>
    <row r="1" spans="2:36" x14ac:dyDescent="0.25">
      <c r="D1" s="117"/>
      <c r="E1" s="117"/>
      <c r="J1" t="s">
        <v>27</v>
      </c>
    </row>
    <row r="2" spans="2:36" ht="21" x14ac:dyDescent="0.35">
      <c r="B2" s="261" t="s">
        <v>0</v>
      </c>
      <c r="D2" s="4"/>
      <c r="E2" s="4"/>
      <c r="J2" s="4"/>
    </row>
    <row r="3" spans="2:36" ht="21" x14ac:dyDescent="0.35">
      <c r="B3" s="203" t="s">
        <v>781</v>
      </c>
      <c r="J3" s="117"/>
      <c r="K3" s="117"/>
      <c r="L3" s="117"/>
      <c r="N3" s="117"/>
      <c r="R3" s="4"/>
      <c r="S3" s="117"/>
      <c r="AB3" s="117"/>
    </row>
    <row r="4" spans="2:36" ht="18.75" x14ac:dyDescent="0.25">
      <c r="B4" s="150"/>
      <c r="I4" s="394"/>
      <c r="J4" s="394" t="s">
        <v>27</v>
      </c>
      <c r="K4" s="117"/>
      <c r="L4" s="117"/>
      <c r="M4" t="s">
        <v>27</v>
      </c>
      <c r="O4" s="394"/>
      <c r="P4" s="4"/>
      <c r="R4" s="385"/>
      <c r="T4" s="154"/>
      <c r="U4" s="385"/>
    </row>
    <row r="5" spans="2:36" s="271" customFormat="1" ht="18.75" x14ac:dyDescent="0.3">
      <c r="B5" s="604" t="s">
        <v>161</v>
      </c>
      <c r="C5" s="605"/>
      <c r="D5" s="605"/>
      <c r="E5" s="605"/>
      <c r="F5" s="606"/>
      <c r="G5" s="1088" t="s">
        <v>162</v>
      </c>
      <c r="H5" s="1089"/>
      <c r="I5" s="1089"/>
      <c r="J5" s="1089"/>
      <c r="K5" s="1089"/>
      <c r="L5" s="1089"/>
      <c r="M5" s="1090"/>
      <c r="N5" s="1088" t="s">
        <v>163</v>
      </c>
      <c r="O5" s="1089"/>
      <c r="P5" s="1089"/>
      <c r="Q5" s="1089"/>
      <c r="R5" s="1089"/>
      <c r="S5" s="1089"/>
      <c r="T5" s="1089"/>
      <c r="U5" s="1090"/>
      <c r="V5" s="1088" t="s">
        <v>719</v>
      </c>
      <c r="W5" s="1089"/>
      <c r="X5" s="1089"/>
      <c r="Y5" s="1089"/>
      <c r="Z5" s="1089"/>
      <c r="AA5" s="1089"/>
      <c r="AB5" s="1090"/>
      <c r="AC5" s="292"/>
      <c r="AF5" s="842"/>
    </row>
    <row r="6" spans="2:36" s="2" customFormat="1" ht="45" x14ac:dyDescent="0.25">
      <c r="B6" s="293" t="s">
        <v>249</v>
      </c>
      <c r="C6" s="1072" t="s">
        <v>555</v>
      </c>
      <c r="D6" s="294" t="s">
        <v>548</v>
      </c>
      <c r="E6" s="294" t="s">
        <v>32</v>
      </c>
      <c r="F6" s="297" t="s">
        <v>97</v>
      </c>
      <c r="G6" s="296" t="s">
        <v>91</v>
      </c>
      <c r="H6" s="294" t="s">
        <v>141</v>
      </c>
      <c r="I6" s="294" t="s">
        <v>98</v>
      </c>
      <c r="J6" s="294" t="s">
        <v>164</v>
      </c>
      <c r="K6" s="294" t="s">
        <v>333</v>
      </c>
      <c r="L6" s="294" t="s">
        <v>334</v>
      </c>
      <c r="M6" s="295" t="s">
        <v>165</v>
      </c>
      <c r="N6" s="293" t="s">
        <v>166</v>
      </c>
      <c r="O6" s="294" t="s">
        <v>167</v>
      </c>
      <c r="P6" s="294" t="s">
        <v>147</v>
      </c>
      <c r="Q6" s="294" t="s">
        <v>545</v>
      </c>
      <c r="R6" s="294" t="s">
        <v>99</v>
      </c>
      <c r="S6" s="294" t="s">
        <v>168</v>
      </c>
      <c r="T6" s="294" t="s">
        <v>100</v>
      </c>
      <c r="U6" s="295" t="s">
        <v>169</v>
      </c>
      <c r="V6" s="293" t="s">
        <v>172</v>
      </c>
      <c r="W6" s="294" t="s">
        <v>173</v>
      </c>
      <c r="X6" s="294" t="s">
        <v>150</v>
      </c>
      <c r="Y6" s="294" t="s">
        <v>152</v>
      </c>
      <c r="Z6" s="294" t="s">
        <v>88</v>
      </c>
      <c r="AA6" s="296" t="s">
        <v>170</v>
      </c>
      <c r="AB6" s="297" t="s">
        <v>171</v>
      </c>
      <c r="AC6" s="295" t="s">
        <v>155</v>
      </c>
      <c r="AF6" s="189" t="s">
        <v>174</v>
      </c>
      <c r="AG6" s="189" t="s">
        <v>174</v>
      </c>
      <c r="AH6" s="189"/>
      <c r="AJ6" s="2" t="s">
        <v>27</v>
      </c>
    </row>
    <row r="7" spans="2:36" s="97" customFormat="1" x14ac:dyDescent="0.25">
      <c r="B7" s="298"/>
      <c r="C7" s="997"/>
      <c r="D7" s="299"/>
      <c r="E7" s="299"/>
      <c r="F7" s="300"/>
      <c r="G7" s="299" t="s">
        <v>49</v>
      </c>
      <c r="H7" s="299" t="s">
        <v>175</v>
      </c>
      <c r="I7" s="299" t="s">
        <v>90</v>
      </c>
      <c r="J7" s="299" t="s">
        <v>90</v>
      </c>
      <c r="K7" s="299" t="s">
        <v>90</v>
      </c>
      <c r="L7" s="299" t="s">
        <v>90</v>
      </c>
      <c r="M7" s="300" t="s">
        <v>90</v>
      </c>
      <c r="N7" s="298" t="s">
        <v>322</v>
      </c>
      <c r="O7" s="301" t="s">
        <v>49</v>
      </c>
      <c r="P7" s="301" t="s">
        <v>47</v>
      </c>
      <c r="Q7" s="301" t="s">
        <v>49</v>
      </c>
      <c r="R7" s="299" t="s">
        <v>47</v>
      </c>
      <c r="S7" s="299" t="s">
        <v>58</v>
      </c>
      <c r="T7" s="299" t="s">
        <v>49</v>
      </c>
      <c r="U7" s="302" t="s">
        <v>47</v>
      </c>
      <c r="V7" s="303" t="s">
        <v>47</v>
      </c>
      <c r="W7" s="301" t="s">
        <v>47</v>
      </c>
      <c r="X7" s="301" t="s">
        <v>47</v>
      </c>
      <c r="Y7" s="301" t="s">
        <v>47</v>
      </c>
      <c r="Z7" s="301" t="s">
        <v>58</v>
      </c>
      <c r="AA7" s="301" t="s">
        <v>58</v>
      </c>
      <c r="AB7" s="302" t="s">
        <v>58</v>
      </c>
      <c r="AC7" s="300"/>
      <c r="AF7" s="126"/>
      <c r="AG7"/>
      <c r="AH7"/>
    </row>
    <row r="8" spans="2:36" x14ac:dyDescent="0.25">
      <c r="B8" s="36" t="s">
        <v>182</v>
      </c>
      <c r="C8" t="s">
        <v>130</v>
      </c>
      <c r="D8" t="s">
        <v>131</v>
      </c>
      <c r="E8" t="s">
        <v>234</v>
      </c>
      <c r="F8" s="18" t="s">
        <v>101</v>
      </c>
      <c r="G8" s="239">
        <f>IF($B8="Residential",0,Inputs!$E$103)</f>
        <v>0</v>
      </c>
      <c r="H8" s="162">
        <f>Inputs!$E$98/12</f>
        <v>10</v>
      </c>
      <c r="I8" s="184">
        <f>INDEX(Inputs!$D$114:$D$125,MATCH(F8,Inputs!$C$114:$C$125,0))</f>
        <v>4.6359999999999998E-2</v>
      </c>
      <c r="J8" s="161">
        <f>Inputs!$E$100</f>
        <v>0.29464000000000001</v>
      </c>
      <c r="K8" s="139">
        <f>Inputs!$E$101</f>
        <v>2.8649999999999998E-2</v>
      </c>
      <c r="L8" s="791">
        <f>EES!$I$23</f>
        <v>3.0100000000000023E-3</v>
      </c>
      <c r="M8" s="190">
        <f>SUM(J8:L8)</f>
        <v>0.32630000000000003</v>
      </c>
      <c r="N8" s="192" t="str">
        <f t="shared" ref="N8:N67" si="0">IF($B8="Residential","R1RESIDENTIAL","R2RESASST")</f>
        <v>R1RESIDENTIAL</v>
      </c>
      <c r="O8" s="134">
        <f>SUMIFS(Sales!$E$7:$E$54,Sales!$B$7:$B$54,$F8,Sales!$C$7:$C$54,$N8)/SUMIFS(Sales!$E$7:$E$54,Sales!$C$7:$C$54,$N8)</f>
        <v>8.3575449932271006E-2</v>
      </c>
      <c r="P8" s="120">
        <f>O8*(INDEX(Annual!$O$9:$O$22,MATCH($AC8,Annual!$AD$9:$AD$22,0)))</f>
        <v>531.53986156924361</v>
      </c>
      <c r="Q8" s="134">
        <f>INDEX(Inputs!$E$114:$E$125,MATCH(F8,Inputs!$C$114:$C$125,0))</f>
        <v>5.9304226053352373E-2</v>
      </c>
      <c r="R8" s="840">
        <f>Q8*INDEX(Annual!$U$9:$U$22,MATCH(AC8,Annual!$AD$9:$AD$22,0))</f>
        <v>285.53008037154058</v>
      </c>
      <c r="S8" s="164">
        <f>R8*M8*(1-$G8)</f>
        <v>93.168465225233703</v>
      </c>
      <c r="T8" s="165">
        <f>INDEX(Inputs!$F$114:$F$125,MATCH(F8,Inputs!$C$114:$C$125,0))</f>
        <v>0.16338151554971528</v>
      </c>
      <c r="U8" s="264">
        <f>T8*IF(D8="HP prior to CVEO",INDEX(Annual!$P$9:$P$22,MATCH(AC8,Annual!$AD$9:$AD$22,0)),INDEX(Annual!$V$9:$V$22,MATCH(AC8,Annual!$AD$9:$AD$22,0)))</f>
        <v>938.76077967586502</v>
      </c>
      <c r="V8" s="222">
        <f>IF(E8="No",0,_xlfn.IFNA(INDEX(Inputs!$E$50:$E$53,MATCH("Events in "&amp;F8,Inputs!$C$50:$C$53,0)),0)*Inputs!$E$46*Inputs!$E$54)</f>
        <v>0</v>
      </c>
      <c r="W8" s="166">
        <f>V8*(1-Inputs!$E$48)</f>
        <v>0</v>
      </c>
      <c r="X8" s="120">
        <f t="shared" ref="X8:X39" si="1">P8+U8+W8</f>
        <v>1470.3006412451086</v>
      </c>
      <c r="Y8" s="120">
        <f t="shared" ref="Y8:Y39" si="2">X8-R8</f>
        <v>1184.770560873568</v>
      </c>
      <c r="Z8" s="20">
        <f t="shared" ref="Z8:Z39" si="3">IF(Y8&lt;0,(Y8*I8)+(H8*(1-G8)),((Y8*M8)+H8)*(1-G8))</f>
        <v>396.5906340130453</v>
      </c>
      <c r="AA8" s="20">
        <f>IF(Y8&gt;0,0,-Y8*$I8)</f>
        <v>0</v>
      </c>
      <c r="AB8" s="21">
        <f t="shared" ref="AB8:AB39" si="4">IF($B8="Income Eligible",IF(Y8&lt;0,(Y8*I8)+H8,((Y8*M8)+H8)),0)</f>
        <v>0</v>
      </c>
      <c r="AC8" s="185" t="str">
        <f>_xlfn.CONCAT(B8:E8)</f>
        <v>ResidentialOilDuctlessNo</v>
      </c>
      <c r="AD8" t="s">
        <v>27</v>
      </c>
      <c r="AI8" s="58"/>
    </row>
    <row r="9" spans="2:36" x14ac:dyDescent="0.25">
      <c r="B9" s="36" t="s">
        <v>182</v>
      </c>
      <c r="C9" t="s">
        <v>130</v>
      </c>
      <c r="D9" t="s">
        <v>131</v>
      </c>
      <c r="E9" t="s">
        <v>234</v>
      </c>
      <c r="F9" s="18" t="s">
        <v>102</v>
      </c>
      <c r="G9" s="239">
        <f>IF($B9="Residential",0,Inputs!$E$103)</f>
        <v>0</v>
      </c>
      <c r="H9" s="162">
        <f>Inputs!$E$98/12</f>
        <v>10</v>
      </c>
      <c r="I9" s="184">
        <f>INDEX(Inputs!$D$114:$D$125,MATCH(F9,Inputs!$C$114:$C$125,0))</f>
        <v>3.5580000000000001E-2</v>
      </c>
      <c r="J9" s="161">
        <f>Inputs!$E$100</f>
        <v>0.29464000000000001</v>
      </c>
      <c r="K9" s="139">
        <f>Inputs!$E$101</f>
        <v>2.8649999999999998E-2</v>
      </c>
      <c r="L9" s="791">
        <f>EES!$I$23</f>
        <v>3.0100000000000023E-3</v>
      </c>
      <c r="M9" s="190">
        <f t="shared" ref="M9:M55" si="5">SUM(J9:L9)</f>
        <v>0.32630000000000003</v>
      </c>
      <c r="N9" s="192" t="str">
        <f t="shared" si="0"/>
        <v>R1RESIDENTIAL</v>
      </c>
      <c r="O9" s="134">
        <f>SUMIFS(Sales!$E$7:$E$54,Sales!$B$7:$B$54,$F9,Sales!$C$7:$C$54,$N9)/SUMIFS(Sales!$E$7:$E$54,Sales!$C$7:$C$54,$N9)</f>
        <v>7.9283880430769713E-2</v>
      </c>
      <c r="P9" s="120">
        <f>O9*(INDEX(Annual!$O$9:$O$22,MATCH($AC9,Annual!$AD$9:$AD$22,0)))</f>
        <v>504.2454795396954</v>
      </c>
      <c r="Q9" s="134">
        <f>INDEX(Inputs!$E$114:$E$125,MATCH(F9,Inputs!$C$114:$C$125,0))</f>
        <v>7.056160122921061E-2</v>
      </c>
      <c r="R9" s="840">
        <f>Q9*INDEX(Annual!$U$9:$U$22,MATCH(AC9,Annual!$AD$9:$AD$22,0))</f>
        <v>339.73058938490607</v>
      </c>
      <c r="S9" s="164">
        <f t="shared" ref="S9:S51" si="6">R9*M9*(1-$G9)</f>
        <v>110.85409131629486</v>
      </c>
      <c r="T9" s="165">
        <f>INDEX(Inputs!$F$114:$F$125,MATCH(F9,Inputs!$C$114:$C$125,0))</f>
        <v>0.2087896043217988</v>
      </c>
      <c r="U9" s="264">
        <f>T9*IF(D9="HP prior to CVEO",INDEX(Annual!$P$9:$P$22,MATCH(AC9,Annual!$AD$9:$AD$22,0)),INDEX(Annual!$V$9:$V$22,MATCH(AC9,Annual!$AD$9:$AD$22,0)))</f>
        <v>1199.6674843042779</v>
      </c>
      <c r="V9" s="222">
        <f>IF(E9="No",0,_xlfn.IFNA(INDEX(Inputs!$E$50:$E$53,MATCH("Events in "&amp;F9,Inputs!$C$50:$C$53,0)),0)*Inputs!$E$46*Inputs!$E$54)</f>
        <v>0</v>
      </c>
      <c r="W9" s="166">
        <f>V9*(1-Inputs!$E$48)</f>
        <v>0</v>
      </c>
      <c r="X9" s="120">
        <f t="shared" si="1"/>
        <v>1703.9129638439733</v>
      </c>
      <c r="Y9" s="120">
        <f t="shared" si="2"/>
        <v>1364.1823744590672</v>
      </c>
      <c r="Z9" s="20">
        <f t="shared" si="3"/>
        <v>455.13270878599366</v>
      </c>
      <c r="AA9" s="20">
        <f t="shared" ref="AA9:AA67" si="7">IF(Y9&gt;0,0,-Y9*$I9)</f>
        <v>0</v>
      </c>
      <c r="AB9" s="21">
        <f t="shared" si="4"/>
        <v>0</v>
      </c>
      <c r="AC9" s="185" t="str">
        <f t="shared" ref="AC9:AC72" si="8">_xlfn.CONCAT(B9:E9)</f>
        <v>ResidentialOilDuctlessNo</v>
      </c>
      <c r="AD9" t="s">
        <v>27</v>
      </c>
      <c r="AI9" s="58"/>
    </row>
    <row r="10" spans="2:36" x14ac:dyDescent="0.25">
      <c r="B10" s="36" t="s">
        <v>182</v>
      </c>
      <c r="C10" t="s">
        <v>130</v>
      </c>
      <c r="D10" t="s">
        <v>131</v>
      </c>
      <c r="E10" t="s">
        <v>234</v>
      </c>
      <c r="F10" s="18" t="s">
        <v>103</v>
      </c>
      <c r="G10" s="239">
        <f>IF($B10="Residential",0,Inputs!$E$103)</f>
        <v>0</v>
      </c>
      <c r="H10" s="162">
        <f>Inputs!$E$98/12</f>
        <v>10</v>
      </c>
      <c r="I10" s="184">
        <f>INDEX(Inputs!$D$114:$D$125,MATCH(F10,Inputs!$C$114:$C$125,0))</f>
        <v>3.8429999999999999E-2</v>
      </c>
      <c r="J10" s="161">
        <f>Inputs!$E$100</f>
        <v>0.29464000000000001</v>
      </c>
      <c r="K10" s="139">
        <f>Inputs!$E$101</f>
        <v>2.8649999999999998E-2</v>
      </c>
      <c r="L10" s="791">
        <f>EES!$I$23</f>
        <v>3.0100000000000023E-3</v>
      </c>
      <c r="M10" s="190">
        <f t="shared" si="5"/>
        <v>0.32630000000000003</v>
      </c>
      <c r="N10" s="192" t="str">
        <f t="shared" si="0"/>
        <v>R1RESIDENTIAL</v>
      </c>
      <c r="O10" s="134">
        <f>SUMIFS(Sales!$E$7:$E$54,Sales!$B$7:$B$54,$F10,Sales!$C$7:$C$54,$N10)/SUMIFS(Sales!$E$7:$E$54,Sales!$C$7:$C$54,$N10)</f>
        <v>7.0531220518429347E-2</v>
      </c>
      <c r="P10" s="120">
        <f>O10*(INDEX(Annual!$O$9:$O$22,MATCH($AC10,Annual!$AD$9:$AD$22,0)))</f>
        <v>448.57856249721067</v>
      </c>
      <c r="Q10" s="134">
        <f>INDEX(Inputs!$E$114:$E$125,MATCH(F10,Inputs!$C$114:$C$125,0))</f>
        <v>9.1691796536674613E-2</v>
      </c>
      <c r="R10" s="840">
        <f>Q10*INDEX(Annual!$U$9:$U$22,MATCH(AC10,Annual!$AD$9:$AD$22,0))</f>
        <v>441.46543639190941</v>
      </c>
      <c r="S10" s="164">
        <f t="shared" si="6"/>
        <v>144.05017189468006</v>
      </c>
      <c r="T10" s="165">
        <f>INDEX(Inputs!$F$114:$F$125,MATCH(F10,Inputs!$C$114:$C$125,0))</f>
        <v>0.14002044094028326</v>
      </c>
      <c r="U10" s="264">
        <f>T10*IF(D10="HP prior to CVEO",INDEX(Annual!$P$9:$P$22,MATCH(AC10,Annual!$AD$9:$AD$22,0)),INDEX(Annual!$V$9:$V$22,MATCH(AC10,Annual!$AD$9:$AD$22,0)))</f>
        <v>804.53224996349832</v>
      </c>
      <c r="V10" s="222">
        <f>IF(E10="No",0,_xlfn.IFNA(INDEX(Inputs!$E$50:$E$53,MATCH("Events in "&amp;F10,Inputs!$C$50:$C$53,0)),0)*Inputs!$E$46*Inputs!$E$54)</f>
        <v>0</v>
      </c>
      <c r="W10" s="166">
        <f>V10*(1-Inputs!$E$48)</f>
        <v>0</v>
      </c>
      <c r="X10" s="120">
        <f t="shared" si="1"/>
        <v>1253.110812460709</v>
      </c>
      <c r="Y10" s="120">
        <f t="shared" si="2"/>
        <v>811.64537606879958</v>
      </c>
      <c r="Z10" s="20">
        <f t="shared" si="3"/>
        <v>274.83988621124934</v>
      </c>
      <c r="AA10" s="20">
        <f t="shared" si="7"/>
        <v>0</v>
      </c>
      <c r="AB10" s="21">
        <f t="shared" si="4"/>
        <v>0</v>
      </c>
      <c r="AC10" s="185" t="str">
        <f t="shared" si="8"/>
        <v>ResidentialOilDuctlessNo</v>
      </c>
      <c r="AD10" t="s">
        <v>27</v>
      </c>
      <c r="AI10" s="58"/>
    </row>
    <row r="11" spans="2:36" x14ac:dyDescent="0.25">
      <c r="B11" s="36" t="s">
        <v>182</v>
      </c>
      <c r="C11" t="s">
        <v>130</v>
      </c>
      <c r="D11" t="s">
        <v>131</v>
      </c>
      <c r="E11" t="s">
        <v>234</v>
      </c>
      <c r="F11" s="18" t="s">
        <v>104</v>
      </c>
      <c r="G11" s="239">
        <f>IF($B11="Residential",0,Inputs!$E$103)</f>
        <v>0</v>
      </c>
      <c r="H11" s="162">
        <f>Inputs!$E$98/12</f>
        <v>10</v>
      </c>
      <c r="I11" s="184">
        <f>INDEX(Inputs!$D$114:$D$125,MATCH(F11,Inputs!$C$114:$C$125,0))</f>
        <v>3.9399999999999998E-2</v>
      </c>
      <c r="J11" s="161">
        <f>Inputs!$E$100</f>
        <v>0.29464000000000001</v>
      </c>
      <c r="K11" s="139">
        <f>Inputs!$E$101</f>
        <v>2.8649999999999998E-2</v>
      </c>
      <c r="L11" s="791">
        <f>EES!$I$23</f>
        <v>3.0100000000000023E-3</v>
      </c>
      <c r="M11" s="190">
        <f t="shared" si="5"/>
        <v>0.32630000000000003</v>
      </c>
      <c r="N11" s="192" t="str">
        <f t="shared" si="0"/>
        <v>R1RESIDENTIAL</v>
      </c>
      <c r="O11" s="134">
        <f>SUMIFS(Sales!$E$7:$E$54,Sales!$B$7:$B$54,$F11,Sales!$C$7:$C$54,$N11)/SUMIFS(Sales!$E$7:$E$54,Sales!$C$7:$C$54,$N11)</f>
        <v>6.4474909849621148E-2</v>
      </c>
      <c r="P11" s="120">
        <f>O11*(INDEX(Annual!$O$9:$O$22,MATCH($AC11,Annual!$AD$9:$AD$22,0)))</f>
        <v>410.06042664359052</v>
      </c>
      <c r="Q11" s="134">
        <f>INDEX(Inputs!$E$114:$E$125,MATCH(F11,Inputs!$C$114:$C$125,0))</f>
        <v>9.5902218316044743E-2</v>
      </c>
      <c r="R11" s="840">
        <f>Q11*INDEX(Annual!$U$9:$U$22,MATCH(AC11,Annual!$AD$9:$AD$22,0))</f>
        <v>461.73721378565011</v>
      </c>
      <c r="S11" s="164">
        <f t="shared" si="6"/>
        <v>150.66485285825766</v>
      </c>
      <c r="T11" s="165">
        <f>INDEX(Inputs!$F$114:$F$125,MATCH(F11,Inputs!$C$114:$C$125,0))</f>
        <v>8.1909767849321066E-2</v>
      </c>
      <c r="U11" s="264">
        <f>T11*IF(D11="HP prior to CVEO",INDEX(Annual!$P$9:$P$22,MATCH(AC11,Annual!$AD$9:$AD$22,0)),INDEX(Annual!$V$9:$V$22,MATCH(AC11,Annual!$AD$9:$AD$22,0)))</f>
        <v>470.63878230398592</v>
      </c>
      <c r="V11" s="222">
        <f>IF(E11="No",0,_xlfn.IFNA(INDEX(Inputs!$E$50:$E$53,MATCH("Events in "&amp;F11,Inputs!$C$50:$C$53,0)),0)*Inputs!$E$46*Inputs!$E$54)</f>
        <v>0</v>
      </c>
      <c r="W11" s="166">
        <f>V11*(1-Inputs!$E$48)</f>
        <v>0</v>
      </c>
      <c r="X11" s="120">
        <f t="shared" si="1"/>
        <v>880.69920894757638</v>
      </c>
      <c r="Y11" s="120">
        <f t="shared" si="2"/>
        <v>418.96199516192627</v>
      </c>
      <c r="Z11" s="20">
        <f t="shared" si="3"/>
        <v>146.70729902133655</v>
      </c>
      <c r="AA11" s="20">
        <f t="shared" si="7"/>
        <v>0</v>
      </c>
      <c r="AB11" s="21">
        <f t="shared" si="4"/>
        <v>0</v>
      </c>
      <c r="AC11" s="185" t="str">
        <f t="shared" si="8"/>
        <v>ResidentialOilDuctlessNo</v>
      </c>
      <c r="AD11" t="s">
        <v>27</v>
      </c>
      <c r="AI11" s="58"/>
    </row>
    <row r="12" spans="2:36" x14ac:dyDescent="0.25">
      <c r="B12" s="36" t="s">
        <v>182</v>
      </c>
      <c r="C12" t="s">
        <v>130</v>
      </c>
      <c r="D12" t="s">
        <v>131</v>
      </c>
      <c r="E12" t="s">
        <v>234</v>
      </c>
      <c r="F12" s="18" t="s">
        <v>105</v>
      </c>
      <c r="G12" s="239">
        <f>IF($B12="Residential",0,Inputs!$E$103)</f>
        <v>0</v>
      </c>
      <c r="H12" s="162">
        <f>Inputs!$E$98/12</f>
        <v>10</v>
      </c>
      <c r="I12" s="184">
        <f>INDEX(Inputs!$D$114:$D$125,MATCH(F12,Inputs!$C$114:$C$125,0))</f>
        <v>4.827E-2</v>
      </c>
      <c r="J12" s="161">
        <f>Inputs!$E$100</f>
        <v>0.29464000000000001</v>
      </c>
      <c r="K12" s="139">
        <f>Inputs!$E$101</f>
        <v>2.8649999999999998E-2</v>
      </c>
      <c r="L12" s="791">
        <f>EES!$I$23</f>
        <v>3.0100000000000023E-3</v>
      </c>
      <c r="M12" s="190">
        <f t="shared" si="5"/>
        <v>0.32630000000000003</v>
      </c>
      <c r="N12" s="192" t="str">
        <f t="shared" si="0"/>
        <v>R1RESIDENTIAL</v>
      </c>
      <c r="O12" s="134">
        <f>SUMIFS(Sales!$E$7:$E$54,Sales!$B$7:$B$54,$F12,Sales!$C$7:$C$54,$N12)/SUMIFS(Sales!$E$7:$E$54,Sales!$C$7:$C$54,$N12)</f>
        <v>6.2342368040081801E-2</v>
      </c>
      <c r="P12" s="120">
        <f>O12*(INDEX(Annual!$O$9:$O$22,MATCH($AC12,Annual!$AD$9:$AD$22,0)))</f>
        <v>396.49746073492025</v>
      </c>
      <c r="Q12" s="134">
        <f>INDEX(Inputs!$E$114:$E$125,MATCH(F12,Inputs!$C$114:$C$125,0))</f>
        <v>0.10405019139401983</v>
      </c>
      <c r="R12" s="840">
        <f>Q12*INDEX(Annual!$U$9:$U$22,MATCH(AC12,Annual!$AD$9:$AD$22,0))</f>
        <v>500.96698816507416</v>
      </c>
      <c r="S12" s="164">
        <f t="shared" si="6"/>
        <v>163.46552823826372</v>
      </c>
      <c r="T12" s="165">
        <f>INDEX(Inputs!$F$114:$F$125,MATCH(F12,Inputs!$C$114:$C$125,0))</f>
        <v>5.577456563001898E-2</v>
      </c>
      <c r="U12" s="264">
        <f>T12*IF(D12="HP prior to CVEO",INDEX(Annual!$P$9:$P$22,MATCH(AC12,Annual!$AD$9:$AD$22,0)),INDEX(Annual!$V$9:$V$22,MATCH(AC12,Annual!$AD$9:$AD$22,0)))</f>
        <v>320.47061468827565</v>
      </c>
      <c r="V12" s="222">
        <f>IF(E12="No",0,_xlfn.IFNA(INDEX(Inputs!$E$50:$E$53,MATCH("Events in "&amp;F12,Inputs!$C$50:$C$53,0)),0)*Inputs!$E$46*Inputs!$E$54)</f>
        <v>0</v>
      </c>
      <c r="W12" s="166">
        <f>V12*(1-Inputs!$E$48)</f>
        <v>0</v>
      </c>
      <c r="X12" s="120">
        <f t="shared" si="1"/>
        <v>716.96807542319584</v>
      </c>
      <c r="Y12" s="120">
        <f t="shared" si="2"/>
        <v>216.00108725812169</v>
      </c>
      <c r="Z12" s="20">
        <f t="shared" si="3"/>
        <v>80.481154772325112</v>
      </c>
      <c r="AA12" s="20">
        <f t="shared" si="7"/>
        <v>0</v>
      </c>
      <c r="AB12" s="21">
        <f t="shared" si="4"/>
        <v>0</v>
      </c>
      <c r="AC12" s="185" t="str">
        <f t="shared" si="8"/>
        <v>ResidentialOilDuctlessNo</v>
      </c>
      <c r="AD12" t="s">
        <v>27</v>
      </c>
      <c r="AI12" s="58"/>
    </row>
    <row r="13" spans="2:36" x14ac:dyDescent="0.25">
      <c r="B13" s="36" t="s">
        <v>182</v>
      </c>
      <c r="C13" t="s">
        <v>130</v>
      </c>
      <c r="D13" t="s">
        <v>131</v>
      </c>
      <c r="E13" t="s">
        <v>234</v>
      </c>
      <c r="F13" s="18" t="s">
        <v>106</v>
      </c>
      <c r="G13" s="239">
        <f>IF($B13="Residential",0,Inputs!$E$103)</f>
        <v>0</v>
      </c>
      <c r="H13" s="162">
        <f>Inputs!$E$98/12</f>
        <v>10</v>
      </c>
      <c r="I13" s="184">
        <f>INDEX(Inputs!$D$114:$D$125,MATCH(F13,Inputs!$C$114:$C$125,0))</f>
        <v>5.8689999999999999E-2</v>
      </c>
      <c r="J13" s="161">
        <f>Inputs!$E$100</f>
        <v>0.29464000000000001</v>
      </c>
      <c r="K13" s="139">
        <f>Inputs!$E$101</f>
        <v>2.8649999999999998E-2</v>
      </c>
      <c r="L13" s="791">
        <f>EES!$I$23</f>
        <v>3.0100000000000023E-3</v>
      </c>
      <c r="M13" s="190">
        <f t="shared" si="5"/>
        <v>0.32630000000000003</v>
      </c>
      <c r="N13" s="192" t="str">
        <f t="shared" si="0"/>
        <v>R1RESIDENTIAL</v>
      </c>
      <c r="O13" s="134">
        <f>SUMIFS(Sales!$E$7:$E$54,Sales!$B$7:$B$54,$F13,Sales!$C$7:$C$54,$N13)/SUMIFS(Sales!$E$7:$E$54,Sales!$C$7:$C$54,$N13)</f>
        <v>6.9121730629464501E-2</v>
      </c>
      <c r="P13" s="120">
        <f>O13*(INDEX(Annual!$O$9:$O$22,MATCH($AC13,Annual!$AD$9:$AD$22,0)))</f>
        <v>439.61420680339421</v>
      </c>
      <c r="Q13" s="134">
        <f>INDEX(Inputs!$E$114:$E$125,MATCH(F13,Inputs!$C$114:$C$125,0))</f>
        <v>9.7397110361162206E-2</v>
      </c>
      <c r="R13" s="840">
        <f>Q13*INDEX(Annual!$U$9:$U$22,MATCH(AC13,Annual!$AD$9:$AD$22,0))</f>
        <v>468.93462068554231</v>
      </c>
      <c r="S13" s="164">
        <f t="shared" si="6"/>
        <v>153.01336672969248</v>
      </c>
      <c r="T13" s="165">
        <f>INDEX(Inputs!$F$114:$F$125,MATCH(F13,Inputs!$C$114:$C$125,0))</f>
        <v>2.044094028325303E-2</v>
      </c>
      <c r="U13" s="264">
        <f>T13*IF(D13="HP prior to CVEO",INDEX(Annual!$P$9:$P$22,MATCH(AC13,Annual!$AD$9:$AD$22,0)),INDEX(Annual!$V$9:$V$22,MATCH(AC13,Annual!$AD$9:$AD$22,0)))</f>
        <v>117.44996349832091</v>
      </c>
      <c r="V13" s="222">
        <f>IF(E13="No",0,_xlfn.IFNA(INDEX(Inputs!$E$50:$E$53,MATCH("Events in "&amp;F13,Inputs!$C$50:$C$53,0)),0)*Inputs!$E$46*Inputs!$E$54)</f>
        <v>0</v>
      </c>
      <c r="W13" s="166">
        <f>V13*(1-Inputs!$E$48)</f>
        <v>0</v>
      </c>
      <c r="X13" s="120">
        <f t="shared" si="1"/>
        <v>557.06417030171508</v>
      </c>
      <c r="Y13" s="120">
        <f t="shared" si="2"/>
        <v>88.129549616172767</v>
      </c>
      <c r="Z13" s="20">
        <f t="shared" si="3"/>
        <v>38.756672039757177</v>
      </c>
      <c r="AA13" s="20">
        <f t="shared" si="7"/>
        <v>0</v>
      </c>
      <c r="AB13" s="21">
        <f t="shared" si="4"/>
        <v>0</v>
      </c>
      <c r="AC13" s="185" t="str">
        <f t="shared" si="8"/>
        <v>ResidentialOilDuctlessNo</v>
      </c>
      <c r="AD13" t="s">
        <v>27</v>
      </c>
      <c r="AG13" s="86"/>
      <c r="AI13" s="58"/>
    </row>
    <row r="14" spans="2:36" x14ac:dyDescent="0.25">
      <c r="B14" s="36" t="s">
        <v>182</v>
      </c>
      <c r="C14" t="s">
        <v>130</v>
      </c>
      <c r="D14" t="s">
        <v>131</v>
      </c>
      <c r="E14" t="s">
        <v>234</v>
      </c>
      <c r="F14" s="18" t="s">
        <v>107</v>
      </c>
      <c r="G14" s="239">
        <f>IF($B14="Residential",0,Inputs!$E$103)</f>
        <v>0</v>
      </c>
      <c r="H14" s="162">
        <f>Inputs!$E$98/12</f>
        <v>10</v>
      </c>
      <c r="I14" s="184">
        <f>INDEX(Inputs!$D$114:$D$125,MATCH(F14,Inputs!$C$114:$C$125,0))</f>
        <v>5.5409999999999994E-2</v>
      </c>
      <c r="J14" s="161">
        <f>Inputs!$E$100</f>
        <v>0.29464000000000001</v>
      </c>
      <c r="K14" s="139">
        <f>Inputs!$E$101</f>
        <v>2.8649999999999998E-2</v>
      </c>
      <c r="L14" s="791">
        <f>EES!$I$23</f>
        <v>3.0100000000000023E-3</v>
      </c>
      <c r="M14" s="190">
        <f t="shared" si="5"/>
        <v>0.32630000000000003</v>
      </c>
      <c r="N14" s="192" t="str">
        <f t="shared" si="0"/>
        <v>R1RESIDENTIAL</v>
      </c>
      <c r="O14" s="134">
        <f>SUMIFS(Sales!$E$7:$E$54,Sales!$B$7:$B$54,$F14,Sales!$C$7:$C$54,$N14)/SUMIFS(Sales!$E$7:$E$54,Sales!$C$7:$C$54,$N14)</f>
        <v>0.12125531729888978</v>
      </c>
      <c r="P14" s="120">
        <f>O14*(INDEX(Annual!$O$9:$O$22,MATCH($AC14,Annual!$AD$9:$AD$22,0)))</f>
        <v>771.18381802093893</v>
      </c>
      <c r="Q14" s="134">
        <f>INDEX(Inputs!$E$114:$E$125,MATCH(F14,Inputs!$C$114:$C$125,0))</f>
        <v>0.10459025798272056</v>
      </c>
      <c r="R14" s="840">
        <f>Q14*INDEX(Annual!$U$9:$U$22,MATCH(AC14,Annual!$AD$9:$AD$22,0))</f>
        <v>503.56722876747199</v>
      </c>
      <c r="S14" s="164">
        <f t="shared" si="6"/>
        <v>164.31398674682612</v>
      </c>
      <c r="T14" s="165">
        <f>INDEX(Inputs!$F$114:$F$125,MATCH(F14,Inputs!$C$114:$C$125,0))</f>
        <v>3.9421813403416554E-3</v>
      </c>
      <c r="U14" s="264">
        <f>T14*IF(D14="HP prior to CVEO",INDEX(Annual!$P$9:$P$22,MATCH(AC14,Annual!$AD$9:$AD$22,0)),INDEX(Annual!$V$9:$V$22,MATCH(AC14,Annual!$AD$9:$AD$22,0)))</f>
        <v>22.651064388961888</v>
      </c>
      <c r="V14" s="222">
        <f>IF(E14="No",0,_xlfn.IFNA(INDEX(Inputs!$E$50:$E$53,MATCH("Events in "&amp;F14,Inputs!$C$50:$C$53,0)),0)*Inputs!$E$46*Inputs!$E$54)</f>
        <v>0</v>
      </c>
      <c r="W14" s="166">
        <f>V14*(1-Inputs!$E$48)</f>
        <v>0</v>
      </c>
      <c r="X14" s="120">
        <f t="shared" si="1"/>
        <v>793.83488240990084</v>
      </c>
      <c r="Y14" s="120">
        <f t="shared" si="2"/>
        <v>290.26765364242885</v>
      </c>
      <c r="Z14" s="20">
        <f t="shared" si="3"/>
        <v>104.71433538352454</v>
      </c>
      <c r="AA14" s="20">
        <f t="shared" si="7"/>
        <v>0</v>
      </c>
      <c r="AB14" s="21">
        <f t="shared" si="4"/>
        <v>0</v>
      </c>
      <c r="AC14" s="185" t="str">
        <f t="shared" si="8"/>
        <v>ResidentialOilDuctlessNo</v>
      </c>
      <c r="AD14" t="s">
        <v>27</v>
      </c>
      <c r="AG14" s="86"/>
      <c r="AI14" s="58"/>
    </row>
    <row r="15" spans="2:36" x14ac:dyDescent="0.25">
      <c r="B15" s="36" t="s">
        <v>182</v>
      </c>
      <c r="C15" t="s">
        <v>130</v>
      </c>
      <c r="D15" t="s">
        <v>131</v>
      </c>
      <c r="E15" t="s">
        <v>234</v>
      </c>
      <c r="F15" s="18" t="s">
        <v>108</v>
      </c>
      <c r="G15" s="239">
        <f>IF($B15="Residential",0,Inputs!$E$103)</f>
        <v>0</v>
      </c>
      <c r="H15" s="162">
        <f>Inputs!$E$98/12</f>
        <v>10</v>
      </c>
      <c r="I15" s="184">
        <f>INDEX(Inputs!$D$114:$D$125,MATCH(F15,Inputs!$C$114:$C$125,0))</f>
        <v>5.1479999999999998E-2</v>
      </c>
      <c r="J15" s="161">
        <f>Inputs!$E$100</f>
        <v>0.29464000000000001</v>
      </c>
      <c r="K15" s="139">
        <f>Inputs!$E$101</f>
        <v>2.8649999999999998E-2</v>
      </c>
      <c r="L15" s="791">
        <f>EES!$I$23</f>
        <v>3.0100000000000023E-3</v>
      </c>
      <c r="M15" s="190">
        <f t="shared" si="5"/>
        <v>0.32630000000000003</v>
      </c>
      <c r="N15" s="192" t="str">
        <f t="shared" si="0"/>
        <v>R1RESIDENTIAL</v>
      </c>
      <c r="O15" s="134">
        <f>SUMIFS(Sales!$E$7:$E$54,Sales!$B$7:$B$54,$F15,Sales!$C$7:$C$54,$N15)/SUMIFS(Sales!$E$7:$E$54,Sales!$C$7:$C$54,$N15)</f>
        <v>0.14415817495028674</v>
      </c>
      <c r="P15" s="120">
        <f>O15*(INDEX(Annual!$O$9:$O$22,MATCH($AC15,Annual!$AD$9:$AD$22,0)))</f>
        <v>916.84599268382362</v>
      </c>
      <c r="Q15" s="134">
        <f>INDEX(Inputs!$E$114:$E$125,MATCH(F15,Inputs!$C$114:$C$125,0))</f>
        <v>9.9163535033348085E-2</v>
      </c>
      <c r="R15" s="840">
        <f>Q15*INDEX(Annual!$U$9:$U$22,MATCH(AC15,Annual!$AD$9:$AD$22,0))</f>
        <v>477.43936667389329</v>
      </c>
      <c r="S15" s="164">
        <f t="shared" si="6"/>
        <v>155.78846534569141</v>
      </c>
      <c r="T15" s="165">
        <f>INDEX(Inputs!$F$114:$F$125,MATCH(F15,Inputs!$C$114:$C$125,0))</f>
        <v>5.5482552197401083E-3</v>
      </c>
      <c r="U15" s="264">
        <f>T15*IF(D15="HP prior to CVEO",INDEX(Annual!$P$9:$P$22,MATCH(AC15,Annual!$AD$9:$AD$22,0)),INDEX(Annual!$V$9:$V$22,MATCH(AC15,Annual!$AD$9:$AD$22,0)))</f>
        <v>31.879275806687108</v>
      </c>
      <c r="V15" s="222">
        <f>IF(E15="No",0,_xlfn.IFNA(INDEX(Inputs!$E$50:$E$53,MATCH("Events in "&amp;F15,Inputs!$C$50:$C$53,0)),0)*Inputs!$E$46*Inputs!$E$54)</f>
        <v>0</v>
      </c>
      <c r="W15" s="166">
        <f>V15*(1-Inputs!$E$48)</f>
        <v>0</v>
      </c>
      <c r="X15" s="120">
        <f t="shared" si="1"/>
        <v>948.72526849051076</v>
      </c>
      <c r="Y15" s="120">
        <f t="shared" si="2"/>
        <v>471.28590181661747</v>
      </c>
      <c r="Z15" s="20">
        <f t="shared" si="3"/>
        <v>163.7805897627623</v>
      </c>
      <c r="AA15" s="20">
        <f t="shared" si="7"/>
        <v>0</v>
      </c>
      <c r="AB15" s="21">
        <f t="shared" si="4"/>
        <v>0</v>
      </c>
      <c r="AC15" s="185" t="str">
        <f t="shared" si="8"/>
        <v>ResidentialOilDuctlessNo</v>
      </c>
      <c r="AD15" t="s">
        <v>27</v>
      </c>
      <c r="AG15" s="86"/>
      <c r="AI15" s="58"/>
    </row>
    <row r="16" spans="2:36" x14ac:dyDescent="0.25">
      <c r="B16" s="36" t="s">
        <v>182</v>
      </c>
      <c r="C16" t="s">
        <v>130</v>
      </c>
      <c r="D16" t="s">
        <v>131</v>
      </c>
      <c r="E16" t="s">
        <v>234</v>
      </c>
      <c r="F16" s="18" t="s">
        <v>109</v>
      </c>
      <c r="G16" s="239">
        <f>IF($B16="Residential",0,Inputs!$E$103)</f>
        <v>0</v>
      </c>
      <c r="H16" s="162">
        <f>Inputs!$E$98/12</f>
        <v>10</v>
      </c>
      <c r="I16" s="184">
        <f>INDEX(Inputs!$D$114:$D$125,MATCH(F16,Inputs!$C$114:$C$125,0))</f>
        <v>5.4880000000000005E-2</v>
      </c>
      <c r="J16" s="161">
        <f>Inputs!$E$100</f>
        <v>0.29464000000000001</v>
      </c>
      <c r="K16" s="139">
        <f>Inputs!$E$101</f>
        <v>2.8649999999999998E-2</v>
      </c>
      <c r="L16" s="791">
        <f>EES!$I$23</f>
        <v>3.0100000000000023E-3</v>
      </c>
      <c r="M16" s="190">
        <f t="shared" si="5"/>
        <v>0.32630000000000003</v>
      </c>
      <c r="N16" s="192" t="str">
        <f t="shared" si="0"/>
        <v>R1RESIDENTIAL</v>
      </c>
      <c r="O16" s="134">
        <f>SUMIFS(Sales!$E$7:$E$54,Sales!$B$7:$B$54,$F16,Sales!$C$7:$C$54,$N16)/SUMIFS(Sales!$E$7:$E$54,Sales!$C$7:$C$54,$N16)</f>
        <v>9.6628881563244493E-2</v>
      </c>
      <c r="P16" s="120">
        <f>O16*(INDEX(Annual!$O$9:$O$22,MATCH($AC16,Annual!$AD$9:$AD$22,0)))</f>
        <v>614.55968674223493</v>
      </c>
      <c r="Q16" s="134">
        <f>INDEX(Inputs!$E$114:$E$125,MATCH(F16,Inputs!$C$114:$C$125,0))</f>
        <v>9.3858976615798895E-2</v>
      </c>
      <c r="R16" s="840">
        <f>Q16*INDEX(Annual!$U$9:$U$22,MATCH(AC16,Annual!$AD$9:$AD$22,0))</f>
        <v>451.89968607953313</v>
      </c>
      <c r="S16" s="164">
        <f t="shared" si="6"/>
        <v>147.45486756775168</v>
      </c>
      <c r="T16" s="165">
        <f>INDEX(Inputs!$F$114:$F$125,MATCH(F16,Inputs!$C$114:$C$125,0))</f>
        <v>1.9272886552781428E-2</v>
      </c>
      <c r="U16" s="264">
        <f>T16*IF(D16="HP prior to CVEO",INDEX(Annual!$P$9:$P$22,MATCH(AC16,Annual!$AD$9:$AD$22,0)),INDEX(Annual!$V$9:$V$22,MATCH(AC16,Annual!$AD$9:$AD$22,0)))</f>
        <v>110.73853701270258</v>
      </c>
      <c r="V16" s="222">
        <f>IF(E16="No",0,_xlfn.IFNA(INDEX(Inputs!$E$50:$E$53,MATCH("Events in "&amp;F16,Inputs!$C$50:$C$53,0)),0)*Inputs!$E$46*Inputs!$E$54)</f>
        <v>0</v>
      </c>
      <c r="W16" s="166">
        <f>V16*(1-Inputs!$E$48)</f>
        <v>0</v>
      </c>
      <c r="X16" s="120">
        <f t="shared" si="1"/>
        <v>725.29822375493745</v>
      </c>
      <c r="Y16" s="120">
        <f t="shared" si="2"/>
        <v>273.39853767540433</v>
      </c>
      <c r="Z16" s="20">
        <f t="shared" si="3"/>
        <v>99.209942843484441</v>
      </c>
      <c r="AA16" s="20">
        <f t="shared" si="7"/>
        <v>0</v>
      </c>
      <c r="AB16" s="21">
        <f t="shared" si="4"/>
        <v>0</v>
      </c>
      <c r="AC16" s="185" t="str">
        <f t="shared" si="8"/>
        <v>ResidentialOilDuctlessNo</v>
      </c>
      <c r="AD16" t="s">
        <v>27</v>
      </c>
      <c r="AG16" s="86"/>
      <c r="AI16" s="58"/>
    </row>
    <row r="17" spans="2:35" x14ac:dyDescent="0.25">
      <c r="B17" s="36" t="s">
        <v>182</v>
      </c>
      <c r="C17" t="s">
        <v>130</v>
      </c>
      <c r="D17" t="s">
        <v>131</v>
      </c>
      <c r="E17" t="s">
        <v>234</v>
      </c>
      <c r="F17" s="18" t="s">
        <v>110</v>
      </c>
      <c r="G17" s="239">
        <f>IF($B17="Residential",0,Inputs!$E$103)</f>
        <v>0</v>
      </c>
      <c r="H17" s="162">
        <f>Inputs!$E$98/12</f>
        <v>10</v>
      </c>
      <c r="I17" s="184">
        <f>INDEX(Inputs!$D$114:$D$125,MATCH(F17,Inputs!$C$114:$C$125,0))</f>
        <v>5.9859999999999997E-2</v>
      </c>
      <c r="J17" s="161">
        <f>Inputs!$E$100</f>
        <v>0.29464000000000001</v>
      </c>
      <c r="K17" s="139">
        <f>Inputs!$E$101</f>
        <v>2.8649999999999998E-2</v>
      </c>
      <c r="L17" s="791">
        <f>EES!$I$23</f>
        <v>3.0100000000000023E-3</v>
      </c>
      <c r="M17" s="190">
        <f t="shared" si="5"/>
        <v>0.32630000000000003</v>
      </c>
      <c r="N17" s="192" t="str">
        <f t="shared" si="0"/>
        <v>R1RESIDENTIAL</v>
      </c>
      <c r="O17" s="134">
        <f>SUMIFS(Sales!$E$7:$E$54,Sales!$B$7:$B$54,$F17,Sales!$C$7:$C$54,$N17)/SUMIFS(Sales!$E$7:$E$54,Sales!$C$7:$C$54,$N17)</f>
        <v>7.00257602088772E-2</v>
      </c>
      <c r="P17" s="120">
        <f>O17*(INDEX(Annual!$O$9:$O$22,MATCH($AC17,Annual!$AD$9:$AD$22,0)))</f>
        <v>445.36383492845897</v>
      </c>
      <c r="Q17" s="134">
        <f>INDEX(Inputs!$E$114:$E$125,MATCH(F17,Inputs!$C$114:$C$125,0))</f>
        <v>7.6465910496739911E-2</v>
      </c>
      <c r="R17" s="840">
        <f>Q17*INDEX(Annual!$U$9:$U$22,MATCH(AC17,Annual!$AD$9:$AD$22,0))</f>
        <v>368.15787040497042</v>
      </c>
      <c r="S17" s="164">
        <f t="shared" si="6"/>
        <v>120.12991311314187</v>
      </c>
      <c r="T17" s="165">
        <f>INDEX(Inputs!$F$114:$F$125,MATCH(F17,Inputs!$C$114:$C$125,0))</f>
        <v>4.0589867133888159E-2</v>
      </c>
      <c r="U17" s="264">
        <f>T17*IF(D17="HP prior to CVEO",INDEX(Annual!$P$9:$P$22,MATCH(AC17,Annual!$AD$9:$AD$22,0)),INDEX(Annual!$V$9:$V$22,MATCH(AC17,Annual!$AD$9:$AD$22,0)))</f>
        <v>233.22207037523725</v>
      </c>
      <c r="V17" s="222">
        <f>IF(E17="No",0,_xlfn.IFNA(INDEX(Inputs!$E$50:$E$53,MATCH("Events in "&amp;F17,Inputs!$C$50:$C$53,0)),0)*Inputs!$E$46*Inputs!$E$54)</f>
        <v>0</v>
      </c>
      <c r="W17" s="166">
        <f>V17*(1-Inputs!$E$48)</f>
        <v>0</v>
      </c>
      <c r="X17" s="120">
        <f t="shared" si="1"/>
        <v>678.58590530369622</v>
      </c>
      <c r="Y17" s="120">
        <f t="shared" si="2"/>
        <v>310.4280348987258</v>
      </c>
      <c r="Z17" s="20">
        <f t="shared" si="3"/>
        <v>111.29266778745423</v>
      </c>
      <c r="AA17" s="20">
        <f t="shared" si="7"/>
        <v>0</v>
      </c>
      <c r="AB17" s="21">
        <f t="shared" si="4"/>
        <v>0</v>
      </c>
      <c r="AC17" s="185" t="str">
        <f t="shared" si="8"/>
        <v>ResidentialOilDuctlessNo</v>
      </c>
      <c r="AD17" t="s">
        <v>27</v>
      </c>
      <c r="AG17" s="86"/>
      <c r="AI17" s="58"/>
    </row>
    <row r="18" spans="2:35" x14ac:dyDescent="0.25">
      <c r="B18" s="36" t="s">
        <v>182</v>
      </c>
      <c r="C18" t="s">
        <v>130</v>
      </c>
      <c r="D18" t="s">
        <v>131</v>
      </c>
      <c r="E18" t="s">
        <v>234</v>
      </c>
      <c r="F18" s="18" t="s">
        <v>111</v>
      </c>
      <c r="G18" s="239">
        <f>IF($B18="Residential",0,Inputs!$E$103)</f>
        <v>0</v>
      </c>
      <c r="H18" s="162">
        <f>Inputs!$E$98/12</f>
        <v>10</v>
      </c>
      <c r="I18" s="184">
        <f>INDEX(Inputs!$D$114:$D$125,MATCH(F18,Inputs!$C$114:$C$125,0))</f>
        <v>0.10368000000000001</v>
      </c>
      <c r="J18" s="161">
        <f>Inputs!$E$100</f>
        <v>0.29464000000000001</v>
      </c>
      <c r="K18" s="139">
        <f>Inputs!$E$101</f>
        <v>2.8649999999999998E-2</v>
      </c>
      <c r="L18" s="791">
        <f>EES!$I$23</f>
        <v>3.0100000000000023E-3</v>
      </c>
      <c r="M18" s="190">
        <f t="shared" si="5"/>
        <v>0.32630000000000003</v>
      </c>
      <c r="N18" s="192" t="str">
        <f t="shared" si="0"/>
        <v>R1RESIDENTIAL</v>
      </c>
      <c r="O18" s="134">
        <f>SUMIFS(Sales!$E$7:$E$54,Sales!$B$7:$B$54,$F18,Sales!$C$7:$C$54,$N18)/SUMIFS(Sales!$E$7:$E$54,Sales!$C$7:$C$54,$N18)</f>
        <v>5.5795384714951879E-2</v>
      </c>
      <c r="P18" s="120">
        <f>O18*(INDEX(Annual!$O$9:$O$22,MATCH($AC18,Annual!$AD$9:$AD$22,0)))</f>
        <v>354.85864678709396</v>
      </c>
      <c r="Q18" s="134">
        <f>INDEX(Inputs!$E$114:$E$125,MATCH(F18,Inputs!$C$114:$C$125,0))</f>
        <v>5.8509626541612472E-2</v>
      </c>
      <c r="R18" s="840">
        <f>Q18*INDEX(Annual!$U$9:$U$22,MATCH(AC18,Annual!$AD$9:$AD$22,0))</f>
        <v>281.70434858901689</v>
      </c>
      <c r="S18" s="164">
        <f t="shared" si="6"/>
        <v>91.920128944596215</v>
      </c>
      <c r="T18" s="165">
        <f>INDEX(Inputs!$F$114:$F$125,MATCH(F18,Inputs!$C$114:$C$125,0))</f>
        <v>0.10643889618922471</v>
      </c>
      <c r="U18" s="264">
        <f>T18*IF(D18="HP prior to CVEO",INDEX(Annual!$P$9:$P$22,MATCH(AC18,Annual!$AD$9:$AD$22,0)),INDEX(Annual!$V$9:$V$22,MATCH(AC18,Annual!$AD$9:$AD$22,0)))</f>
        <v>611.57873850197109</v>
      </c>
      <c r="V18" s="222">
        <f>IF(E18="No",0,_xlfn.IFNA(INDEX(Inputs!$E$50:$E$53,MATCH("Events in "&amp;F18,Inputs!$C$50:$C$53,0)),0)*Inputs!$E$46*Inputs!$E$54)</f>
        <v>0</v>
      </c>
      <c r="W18" s="166">
        <f>V18*(1-Inputs!$E$48)</f>
        <v>0</v>
      </c>
      <c r="X18" s="120">
        <f t="shared" si="1"/>
        <v>966.43738528906511</v>
      </c>
      <c r="Y18" s="120">
        <f t="shared" si="2"/>
        <v>684.73303670004816</v>
      </c>
      <c r="Z18" s="20">
        <f t="shared" si="3"/>
        <v>233.42838987522575</v>
      </c>
      <c r="AA18" s="20">
        <f t="shared" si="7"/>
        <v>0</v>
      </c>
      <c r="AB18" s="21">
        <f t="shared" si="4"/>
        <v>0</v>
      </c>
      <c r="AC18" s="185" t="str">
        <f t="shared" si="8"/>
        <v>ResidentialOilDuctlessNo</v>
      </c>
      <c r="AD18" t="s">
        <v>27</v>
      </c>
      <c r="AG18" s="86"/>
      <c r="AI18" s="58"/>
    </row>
    <row r="19" spans="2:35" x14ac:dyDescent="0.25">
      <c r="B19" s="36" t="s">
        <v>182</v>
      </c>
      <c r="C19" t="s">
        <v>130</v>
      </c>
      <c r="D19" t="s">
        <v>131</v>
      </c>
      <c r="E19" t="s">
        <v>234</v>
      </c>
      <c r="F19" s="18" t="s">
        <v>112</v>
      </c>
      <c r="G19" s="239">
        <f>IF($B19="Residential",0,Inputs!$E$103)</f>
        <v>0</v>
      </c>
      <c r="H19" s="162">
        <f>Inputs!$E$98/12</f>
        <v>10</v>
      </c>
      <c r="I19" s="184">
        <f>INDEX(Inputs!$D$114:$D$125,MATCH(F19,Inputs!$C$114:$C$125,0))</f>
        <v>7.7920000000000003E-2</v>
      </c>
      <c r="J19" s="161">
        <f>Inputs!$E$100</f>
        <v>0.29464000000000001</v>
      </c>
      <c r="K19" s="139">
        <f>Inputs!$E$101</f>
        <v>2.8649999999999998E-2</v>
      </c>
      <c r="L19" s="791">
        <f>EES!$I$23</f>
        <v>3.0100000000000023E-3</v>
      </c>
      <c r="M19" s="190">
        <f t="shared" si="5"/>
        <v>0.32630000000000003</v>
      </c>
      <c r="N19" s="192" t="str">
        <f t="shared" si="0"/>
        <v>R1RESIDENTIAL</v>
      </c>
      <c r="O19" s="134">
        <f>SUMIFS(Sales!$E$7:$E$54,Sales!$B$7:$B$54,$F19,Sales!$C$7:$C$54,$N19)/SUMIFS(Sales!$E$7:$E$54,Sales!$C$7:$C$54,$N19)</f>
        <v>8.2806921863112365E-2</v>
      </c>
      <c r="P19" s="120">
        <f>O19*(INDEX(Annual!$O$9:$O$22,MATCH($AC19,Annual!$AD$9:$AD$22,0)))</f>
        <v>526.65202304939464</v>
      </c>
      <c r="Q19" s="134">
        <f>INDEX(Inputs!$E$114:$E$125,MATCH(F19,Inputs!$C$114:$C$125,0))</f>
        <v>4.8504549439315578E-2</v>
      </c>
      <c r="R19" s="840">
        <f>Q19*INDEX(Annual!$U$9:$U$22,MATCH(AC19,Annual!$AD$9:$AD$22,0))</f>
        <v>233.53323736715808</v>
      </c>
      <c r="S19" s="164">
        <f t="shared" si="6"/>
        <v>76.201895352903691</v>
      </c>
      <c r="T19" s="165">
        <f>INDEX(Inputs!$F$114:$F$125,MATCH(F19,Inputs!$C$114:$C$125,0))</f>
        <v>0.15389107898963353</v>
      </c>
      <c r="U19" s="264">
        <f>T19*IF(D19="HP prior to CVEO",INDEX(Annual!$P$9:$P$22,MATCH(AC19,Annual!$AD$9:$AD$22,0)),INDEX(Annual!$V$9:$V$22,MATCH(AC19,Annual!$AD$9:$AD$22,0)))</f>
        <v>884.23043948021609</v>
      </c>
      <c r="V19" s="222">
        <f>IF(E19="No",0,_xlfn.IFNA(INDEX(Inputs!$E$50:$E$53,MATCH("Events in "&amp;F19,Inputs!$C$50:$C$53,0)),0)*Inputs!$E$46*Inputs!$E$54)</f>
        <v>0</v>
      </c>
      <c r="W19" s="166">
        <f>V19*(1-Inputs!$E$48)</f>
        <v>0</v>
      </c>
      <c r="X19" s="120">
        <f t="shared" si="1"/>
        <v>1410.8824625296106</v>
      </c>
      <c r="Y19" s="120">
        <f t="shared" si="2"/>
        <v>1177.3492251624525</v>
      </c>
      <c r="Z19" s="20">
        <f t="shared" si="3"/>
        <v>394.16905217050828</v>
      </c>
      <c r="AA19" s="20">
        <f t="shared" si="7"/>
        <v>0</v>
      </c>
      <c r="AB19" s="21">
        <f t="shared" si="4"/>
        <v>0</v>
      </c>
      <c r="AC19" s="185" t="str">
        <f t="shared" si="8"/>
        <v>ResidentialOilDuctlessNo</v>
      </c>
      <c r="AD19" t="s">
        <v>27</v>
      </c>
      <c r="AG19" s="86"/>
      <c r="AI19" s="58"/>
    </row>
    <row r="20" spans="2:35" x14ac:dyDescent="0.25">
      <c r="B20" s="36" t="s">
        <v>182</v>
      </c>
      <c r="C20" t="s">
        <v>130</v>
      </c>
      <c r="D20" t="s">
        <v>131</v>
      </c>
      <c r="E20" t="s">
        <v>233</v>
      </c>
      <c r="F20" s="18" t="s">
        <v>101</v>
      </c>
      <c r="G20" s="239">
        <f>IF($B20="Residential",0,Inputs!$E$103)</f>
        <v>0</v>
      </c>
      <c r="H20" s="162">
        <f>Inputs!$E$98/12</f>
        <v>10</v>
      </c>
      <c r="I20" s="184">
        <f>INDEX(Inputs!$D$114:$D$125,MATCH(F20,Inputs!$C$114:$C$125,0))</f>
        <v>4.6359999999999998E-2</v>
      </c>
      <c r="J20" s="161">
        <f>Inputs!$E$100</f>
        <v>0.29464000000000001</v>
      </c>
      <c r="K20" s="139">
        <f>Inputs!$E$101</f>
        <v>2.8649999999999998E-2</v>
      </c>
      <c r="L20" s="791">
        <f>EES!$I$23</f>
        <v>3.0100000000000023E-3</v>
      </c>
      <c r="M20" s="190">
        <f>SUM(J20:L20)</f>
        <v>0.32630000000000003</v>
      </c>
      <c r="N20" s="192" t="str">
        <f t="shared" si="0"/>
        <v>R1RESIDENTIAL</v>
      </c>
      <c r="O20" s="134">
        <f>SUMIFS(Sales!$E$7:$E$54,Sales!$B$7:$B$54,$F20,Sales!$C$7:$C$54,$N20)/SUMIFS(Sales!$E$7:$E$54,Sales!$C$7:$C$54,$N20)</f>
        <v>8.3575449932271006E-2</v>
      </c>
      <c r="P20" s="120">
        <f>O20*(INDEX(Annual!$O$9:$O$22,MATCH($AC20,Annual!$AD$9:$AD$22,0)))</f>
        <v>531.53986156924361</v>
      </c>
      <c r="Q20" s="134">
        <f>INDEX(Inputs!$E$114:$E$125,MATCH(F20,Inputs!$C$114:$C$125,0))</f>
        <v>5.9304226053352373E-2</v>
      </c>
      <c r="R20" s="840">
        <f>Q20*INDEX(Annual!$U$9:$U$22,MATCH(AC20,Annual!$AD$9:$AD$22,0))</f>
        <v>258.44781714050964</v>
      </c>
      <c r="S20" s="164">
        <f>R20*M20*(1-$G20)</f>
        <v>84.331522732948301</v>
      </c>
      <c r="T20" s="165">
        <f>INDEX(Inputs!$F$114:$F$125,MATCH(F20,Inputs!$C$114:$C$125,0))</f>
        <v>0.16338151554971528</v>
      </c>
      <c r="U20" s="264">
        <f>T20*IF(D20="HP prior to CVEO",INDEX(Annual!$P$9:$P$22,MATCH(AC20,Annual!$AD$9:$AD$22,0)),INDEX(Annual!$V$9:$V$22,MATCH(AC20,Annual!$AD$9:$AD$22,0)))</f>
        <v>938.76077967586502</v>
      </c>
      <c r="V20" s="222">
        <f>IF(E20="No",0,_xlfn.IFNA(INDEX(Inputs!$E$50:$E$53,MATCH("Events in "&amp;F20,Inputs!$C$50:$C$53,0)),0)*Inputs!$E$46*Inputs!$E$54)</f>
        <v>0</v>
      </c>
      <c r="W20" s="166">
        <f>V20*(1-Inputs!$E$48)</f>
        <v>0</v>
      </c>
      <c r="X20" s="120">
        <f t="shared" si="1"/>
        <v>1470.3006412451086</v>
      </c>
      <c r="Y20" s="120">
        <f t="shared" si="2"/>
        <v>1211.852824104599</v>
      </c>
      <c r="Z20" s="20">
        <f t="shared" si="3"/>
        <v>405.42757650533071</v>
      </c>
      <c r="AA20" s="20">
        <f t="shared" ref="AA20:AA31" si="9">IF(Y20&gt;0,0,-Y20*$I20)</f>
        <v>0</v>
      </c>
      <c r="AB20" s="21">
        <f t="shared" si="4"/>
        <v>0</v>
      </c>
      <c r="AC20" s="185" t="str">
        <f t="shared" si="8"/>
        <v>ResidentialOilDuctlessYes</v>
      </c>
      <c r="AD20" t="s">
        <v>27</v>
      </c>
      <c r="AI20" s="58"/>
    </row>
    <row r="21" spans="2:35" x14ac:dyDescent="0.25">
      <c r="B21" s="36" t="s">
        <v>182</v>
      </c>
      <c r="C21" t="s">
        <v>130</v>
      </c>
      <c r="D21" t="s">
        <v>131</v>
      </c>
      <c r="E21" t="s">
        <v>233</v>
      </c>
      <c r="F21" s="18" t="s">
        <v>102</v>
      </c>
      <c r="G21" s="239">
        <f>IF($B21="Residential",0,Inputs!$E$103)</f>
        <v>0</v>
      </c>
      <c r="H21" s="162">
        <f>Inputs!$E$98/12</f>
        <v>10</v>
      </c>
      <c r="I21" s="184">
        <f>INDEX(Inputs!$D$114:$D$125,MATCH(F21,Inputs!$C$114:$C$125,0))</f>
        <v>3.5580000000000001E-2</v>
      </c>
      <c r="J21" s="161">
        <f>Inputs!$E$100</f>
        <v>0.29464000000000001</v>
      </c>
      <c r="K21" s="139">
        <f>Inputs!$E$101</f>
        <v>2.8649999999999998E-2</v>
      </c>
      <c r="L21" s="791">
        <f>EES!$I$23</f>
        <v>3.0100000000000023E-3</v>
      </c>
      <c r="M21" s="190">
        <f t="shared" ref="M21:M31" si="10">SUM(J21:L21)</f>
        <v>0.32630000000000003</v>
      </c>
      <c r="N21" s="192" t="str">
        <f t="shared" si="0"/>
        <v>R1RESIDENTIAL</v>
      </c>
      <c r="O21" s="134">
        <f>SUMIFS(Sales!$E$7:$E$54,Sales!$B$7:$B$54,$F21,Sales!$C$7:$C$54,$N21)/SUMIFS(Sales!$E$7:$E$54,Sales!$C$7:$C$54,$N21)</f>
        <v>7.9283880430769713E-2</v>
      </c>
      <c r="P21" s="120">
        <f>O21*(INDEX(Annual!$O$9:$O$22,MATCH($AC21,Annual!$AD$9:$AD$22,0)))</f>
        <v>504.2454795396954</v>
      </c>
      <c r="Q21" s="134">
        <f>INDEX(Inputs!$E$114:$E$125,MATCH(F21,Inputs!$C$114:$C$125,0))</f>
        <v>7.056160122921061E-2</v>
      </c>
      <c r="R21" s="840">
        <f>Q21*INDEX(Annual!$U$9:$U$22,MATCH(AC21,Annual!$AD$9:$AD$22,0))</f>
        <v>307.50745815689982</v>
      </c>
      <c r="S21" s="164">
        <f t="shared" ref="S21:S31" si="11">R21*M21*(1-$G21)</f>
        <v>100.33968359659642</v>
      </c>
      <c r="T21" s="165">
        <f>INDEX(Inputs!$F$114:$F$125,MATCH(F21,Inputs!$C$114:$C$125,0))</f>
        <v>0.2087896043217988</v>
      </c>
      <c r="U21" s="264">
        <f>T21*IF(D21="HP prior to CVEO",INDEX(Annual!$P$9:$P$22,MATCH(AC21,Annual!$AD$9:$AD$22,0)),INDEX(Annual!$V$9:$V$22,MATCH(AC21,Annual!$AD$9:$AD$22,0)))</f>
        <v>1199.6674843042779</v>
      </c>
      <c r="V21" s="222">
        <f>IF(E21="No",0,_xlfn.IFNA(INDEX(Inputs!$E$50:$E$53,MATCH("Events in "&amp;F21,Inputs!$C$50:$C$53,0)),0)*Inputs!$E$46*Inputs!$E$54)</f>
        <v>0</v>
      </c>
      <c r="W21" s="166">
        <f>V21*(1-Inputs!$E$48)</f>
        <v>0</v>
      </c>
      <c r="X21" s="120">
        <f t="shared" si="1"/>
        <v>1703.9129638439733</v>
      </c>
      <c r="Y21" s="120">
        <f t="shared" si="2"/>
        <v>1396.4055056870734</v>
      </c>
      <c r="Z21" s="20">
        <f t="shared" si="3"/>
        <v>465.64711650569211</v>
      </c>
      <c r="AA21" s="20">
        <f t="shared" si="9"/>
        <v>0</v>
      </c>
      <c r="AB21" s="21">
        <f t="shared" si="4"/>
        <v>0</v>
      </c>
      <c r="AC21" s="185" t="str">
        <f t="shared" si="8"/>
        <v>ResidentialOilDuctlessYes</v>
      </c>
      <c r="AD21" t="s">
        <v>27</v>
      </c>
      <c r="AI21" s="58"/>
    </row>
    <row r="22" spans="2:35" x14ac:dyDescent="0.25">
      <c r="B22" s="36" t="s">
        <v>182</v>
      </c>
      <c r="C22" t="s">
        <v>130</v>
      </c>
      <c r="D22" t="s">
        <v>131</v>
      </c>
      <c r="E22" t="s">
        <v>233</v>
      </c>
      <c r="F22" s="18" t="s">
        <v>103</v>
      </c>
      <c r="G22" s="239">
        <f>IF($B22="Residential",0,Inputs!$E$103)</f>
        <v>0</v>
      </c>
      <c r="H22" s="162">
        <f>Inputs!$E$98/12</f>
        <v>10</v>
      </c>
      <c r="I22" s="184">
        <f>INDEX(Inputs!$D$114:$D$125,MATCH(F22,Inputs!$C$114:$C$125,0))</f>
        <v>3.8429999999999999E-2</v>
      </c>
      <c r="J22" s="161">
        <f>Inputs!$E$100</f>
        <v>0.29464000000000001</v>
      </c>
      <c r="K22" s="139">
        <f>Inputs!$E$101</f>
        <v>2.8649999999999998E-2</v>
      </c>
      <c r="L22" s="791">
        <f>EES!$I$23</f>
        <v>3.0100000000000023E-3</v>
      </c>
      <c r="M22" s="190">
        <f t="shared" si="10"/>
        <v>0.32630000000000003</v>
      </c>
      <c r="N22" s="192" t="str">
        <f t="shared" si="0"/>
        <v>R1RESIDENTIAL</v>
      </c>
      <c r="O22" s="134">
        <f>SUMIFS(Sales!$E$7:$E$54,Sales!$B$7:$B$54,$F22,Sales!$C$7:$C$54,$N22)/SUMIFS(Sales!$E$7:$E$54,Sales!$C$7:$C$54,$N22)</f>
        <v>7.0531220518429347E-2</v>
      </c>
      <c r="P22" s="120">
        <f>O22*(INDEX(Annual!$O$9:$O$22,MATCH($AC22,Annual!$AD$9:$AD$22,0)))</f>
        <v>448.57856249721067</v>
      </c>
      <c r="Q22" s="134">
        <f>INDEX(Inputs!$E$114:$E$125,MATCH(F22,Inputs!$C$114:$C$125,0))</f>
        <v>9.1691796536674613E-2</v>
      </c>
      <c r="R22" s="840">
        <f>Q22*INDEX(Annual!$U$9:$U$22,MATCH(AC22,Annual!$AD$9:$AD$22,0))</f>
        <v>399.59284930682799</v>
      </c>
      <c r="S22" s="164">
        <f t="shared" si="11"/>
        <v>130.38714672881798</v>
      </c>
      <c r="T22" s="165">
        <f>INDEX(Inputs!$F$114:$F$125,MATCH(F22,Inputs!$C$114:$C$125,0))</f>
        <v>0.14002044094028326</v>
      </c>
      <c r="U22" s="264">
        <f>T22*IF(D22="HP prior to CVEO",INDEX(Annual!$P$9:$P$22,MATCH(AC22,Annual!$AD$9:$AD$22,0)),INDEX(Annual!$V$9:$V$22,MATCH(AC22,Annual!$AD$9:$AD$22,0)))</f>
        <v>804.53224996349832</v>
      </c>
      <c r="V22" s="222">
        <f>IF(E22="No",0,_xlfn.IFNA(INDEX(Inputs!$E$50:$E$53,MATCH("Events in "&amp;F22,Inputs!$C$50:$C$53,0)),0)*Inputs!$E$46*Inputs!$E$54)</f>
        <v>0</v>
      </c>
      <c r="W22" s="166">
        <f>V22*(1-Inputs!$E$48)</f>
        <v>0</v>
      </c>
      <c r="X22" s="120">
        <f t="shared" si="1"/>
        <v>1253.110812460709</v>
      </c>
      <c r="Y22" s="120">
        <f t="shared" si="2"/>
        <v>853.51796315388106</v>
      </c>
      <c r="Z22" s="20">
        <f t="shared" si="3"/>
        <v>288.50291137711145</v>
      </c>
      <c r="AA22" s="20">
        <f t="shared" si="9"/>
        <v>0</v>
      </c>
      <c r="AB22" s="21">
        <f t="shared" si="4"/>
        <v>0</v>
      </c>
      <c r="AC22" s="185" t="str">
        <f t="shared" si="8"/>
        <v>ResidentialOilDuctlessYes</v>
      </c>
      <c r="AD22" t="s">
        <v>27</v>
      </c>
      <c r="AI22" s="58"/>
    </row>
    <row r="23" spans="2:35" x14ac:dyDescent="0.25">
      <c r="B23" s="36" t="s">
        <v>182</v>
      </c>
      <c r="C23" t="s">
        <v>130</v>
      </c>
      <c r="D23" t="s">
        <v>131</v>
      </c>
      <c r="E23" t="s">
        <v>233</v>
      </c>
      <c r="F23" s="18" t="s">
        <v>104</v>
      </c>
      <c r="G23" s="239">
        <f>IF($B23="Residential",0,Inputs!$E$103)</f>
        <v>0</v>
      </c>
      <c r="H23" s="162">
        <f>Inputs!$E$98/12</f>
        <v>10</v>
      </c>
      <c r="I23" s="184">
        <f>INDEX(Inputs!$D$114:$D$125,MATCH(F23,Inputs!$C$114:$C$125,0))</f>
        <v>3.9399999999999998E-2</v>
      </c>
      <c r="J23" s="161">
        <f>Inputs!$E$100</f>
        <v>0.29464000000000001</v>
      </c>
      <c r="K23" s="139">
        <f>Inputs!$E$101</f>
        <v>2.8649999999999998E-2</v>
      </c>
      <c r="L23" s="791">
        <f>EES!$I$23</f>
        <v>3.0100000000000023E-3</v>
      </c>
      <c r="M23" s="190">
        <f t="shared" si="10"/>
        <v>0.32630000000000003</v>
      </c>
      <c r="N23" s="192" t="str">
        <f t="shared" si="0"/>
        <v>R1RESIDENTIAL</v>
      </c>
      <c r="O23" s="134">
        <f>SUMIFS(Sales!$E$7:$E$54,Sales!$B$7:$B$54,$F23,Sales!$C$7:$C$54,$N23)/SUMIFS(Sales!$E$7:$E$54,Sales!$C$7:$C$54,$N23)</f>
        <v>6.4474909849621148E-2</v>
      </c>
      <c r="P23" s="120">
        <f>O23*(INDEX(Annual!$O$9:$O$22,MATCH($AC23,Annual!$AD$9:$AD$22,0)))</f>
        <v>410.06042664359052</v>
      </c>
      <c r="Q23" s="134">
        <f>INDEX(Inputs!$E$114:$E$125,MATCH(F23,Inputs!$C$114:$C$125,0))</f>
        <v>9.5902218316044743E-2</v>
      </c>
      <c r="R23" s="840">
        <f>Q23*INDEX(Annual!$U$9:$U$22,MATCH(AC23,Annual!$AD$9:$AD$22,0))</f>
        <v>417.94186742132297</v>
      </c>
      <c r="S23" s="164">
        <f t="shared" si="11"/>
        <v>136.37443133957771</v>
      </c>
      <c r="T23" s="165">
        <f>INDEX(Inputs!$F$114:$F$125,MATCH(F23,Inputs!$C$114:$C$125,0))</f>
        <v>8.1909767849321066E-2</v>
      </c>
      <c r="U23" s="264">
        <f>T23*IF(D23="HP prior to CVEO",INDEX(Annual!$P$9:$P$22,MATCH(AC23,Annual!$AD$9:$AD$22,0)),INDEX(Annual!$V$9:$V$22,MATCH(AC23,Annual!$AD$9:$AD$22,0)))</f>
        <v>470.63878230398592</v>
      </c>
      <c r="V23" s="222">
        <f>IF(E23="No",0,_xlfn.IFNA(INDEX(Inputs!$E$50:$E$53,MATCH("Events in "&amp;F23,Inputs!$C$50:$C$53,0)),0)*Inputs!$E$46*Inputs!$E$54)</f>
        <v>0</v>
      </c>
      <c r="W23" s="166">
        <f>V23*(1-Inputs!$E$48)</f>
        <v>0</v>
      </c>
      <c r="X23" s="120">
        <f t="shared" si="1"/>
        <v>880.69920894757638</v>
      </c>
      <c r="Y23" s="120">
        <f t="shared" si="2"/>
        <v>462.75734152625341</v>
      </c>
      <c r="Z23" s="20">
        <f t="shared" si="3"/>
        <v>160.9977205400165</v>
      </c>
      <c r="AA23" s="20">
        <f t="shared" si="9"/>
        <v>0</v>
      </c>
      <c r="AB23" s="21">
        <f t="shared" si="4"/>
        <v>0</v>
      </c>
      <c r="AC23" s="185" t="str">
        <f t="shared" si="8"/>
        <v>ResidentialOilDuctlessYes</v>
      </c>
      <c r="AD23" t="s">
        <v>27</v>
      </c>
      <c r="AI23" s="58"/>
    </row>
    <row r="24" spans="2:35" x14ac:dyDescent="0.25">
      <c r="B24" s="36" t="s">
        <v>182</v>
      </c>
      <c r="C24" t="s">
        <v>130</v>
      </c>
      <c r="D24" t="s">
        <v>131</v>
      </c>
      <c r="E24" t="s">
        <v>233</v>
      </c>
      <c r="F24" s="18" t="s">
        <v>105</v>
      </c>
      <c r="G24" s="239">
        <f>IF($B24="Residential",0,Inputs!$E$103)</f>
        <v>0</v>
      </c>
      <c r="H24" s="162">
        <f>Inputs!$E$98/12</f>
        <v>10</v>
      </c>
      <c r="I24" s="184">
        <f>INDEX(Inputs!$D$114:$D$125,MATCH(F24,Inputs!$C$114:$C$125,0))</f>
        <v>4.827E-2</v>
      </c>
      <c r="J24" s="161">
        <f>Inputs!$E$100</f>
        <v>0.29464000000000001</v>
      </c>
      <c r="K24" s="139">
        <f>Inputs!$E$101</f>
        <v>2.8649999999999998E-2</v>
      </c>
      <c r="L24" s="791">
        <f>EES!$I$23</f>
        <v>3.0100000000000023E-3</v>
      </c>
      <c r="M24" s="190">
        <f t="shared" si="10"/>
        <v>0.32630000000000003</v>
      </c>
      <c r="N24" s="192" t="str">
        <f t="shared" si="0"/>
        <v>R1RESIDENTIAL</v>
      </c>
      <c r="O24" s="134">
        <f>SUMIFS(Sales!$E$7:$E$54,Sales!$B$7:$B$54,$F24,Sales!$C$7:$C$54,$N24)/SUMIFS(Sales!$E$7:$E$54,Sales!$C$7:$C$54,$N24)</f>
        <v>6.2342368040081801E-2</v>
      </c>
      <c r="P24" s="120">
        <f>O24*(INDEX(Annual!$O$9:$O$22,MATCH($AC24,Annual!$AD$9:$AD$22,0)))</f>
        <v>396.49746073492025</v>
      </c>
      <c r="Q24" s="134">
        <f>INDEX(Inputs!$E$114:$E$125,MATCH(F24,Inputs!$C$114:$C$125,0))</f>
        <v>0.10405019139401983</v>
      </c>
      <c r="R24" s="840">
        <f>Q24*INDEX(Annual!$U$9:$U$22,MATCH(AC24,Annual!$AD$9:$AD$22,0))</f>
        <v>453.45073409513844</v>
      </c>
      <c r="S24" s="164">
        <f t="shared" si="11"/>
        <v>147.96097453524368</v>
      </c>
      <c r="T24" s="165">
        <f>INDEX(Inputs!$F$114:$F$125,MATCH(F24,Inputs!$C$114:$C$125,0))</f>
        <v>5.577456563001898E-2</v>
      </c>
      <c r="U24" s="264">
        <f>T24*IF(D24="HP prior to CVEO",INDEX(Annual!$P$9:$P$22,MATCH(AC24,Annual!$AD$9:$AD$22,0)),INDEX(Annual!$V$9:$V$22,MATCH(AC24,Annual!$AD$9:$AD$22,0)))</f>
        <v>320.47061468827565</v>
      </c>
      <c r="V24" s="222">
        <f>IF(E24="No",0,_xlfn.IFNA(INDEX(Inputs!$E$50:$E$53,MATCH("Events in "&amp;F24,Inputs!$C$50:$C$53,0)),0)*Inputs!$E$46*Inputs!$E$54)</f>
        <v>0</v>
      </c>
      <c r="W24" s="166">
        <f>V24*(1-Inputs!$E$48)</f>
        <v>0</v>
      </c>
      <c r="X24" s="120">
        <f t="shared" si="1"/>
        <v>716.96807542319584</v>
      </c>
      <c r="Y24" s="120">
        <f t="shared" si="2"/>
        <v>263.5173413280574</v>
      </c>
      <c r="Z24" s="20">
        <f t="shared" si="3"/>
        <v>95.985708475345135</v>
      </c>
      <c r="AA24" s="20">
        <f t="shared" si="9"/>
        <v>0</v>
      </c>
      <c r="AB24" s="21">
        <f t="shared" si="4"/>
        <v>0</v>
      </c>
      <c r="AC24" s="185" t="str">
        <f t="shared" si="8"/>
        <v>ResidentialOilDuctlessYes</v>
      </c>
      <c r="AD24" t="s">
        <v>27</v>
      </c>
      <c r="AI24" s="58"/>
    </row>
    <row r="25" spans="2:35" x14ac:dyDescent="0.25">
      <c r="B25" s="36" t="s">
        <v>182</v>
      </c>
      <c r="C25" t="s">
        <v>130</v>
      </c>
      <c r="D25" t="s">
        <v>131</v>
      </c>
      <c r="E25" t="s">
        <v>233</v>
      </c>
      <c r="F25" s="18" t="s">
        <v>106</v>
      </c>
      <c r="G25" s="239">
        <f>IF($B25="Residential",0,Inputs!$E$103)</f>
        <v>0</v>
      </c>
      <c r="H25" s="162">
        <f>Inputs!$E$98/12</f>
        <v>10</v>
      </c>
      <c r="I25" s="184">
        <f>INDEX(Inputs!$D$114:$D$125,MATCH(F25,Inputs!$C$114:$C$125,0))</f>
        <v>5.8689999999999999E-2</v>
      </c>
      <c r="J25" s="161">
        <f>Inputs!$E$100</f>
        <v>0.29464000000000001</v>
      </c>
      <c r="K25" s="139">
        <f>Inputs!$E$101</f>
        <v>2.8649999999999998E-2</v>
      </c>
      <c r="L25" s="791">
        <f>EES!$I$23</f>
        <v>3.0100000000000023E-3</v>
      </c>
      <c r="M25" s="190">
        <f t="shared" si="10"/>
        <v>0.32630000000000003</v>
      </c>
      <c r="N25" s="192" t="str">
        <f t="shared" si="0"/>
        <v>R1RESIDENTIAL</v>
      </c>
      <c r="O25" s="134">
        <f>SUMIFS(Sales!$E$7:$E$54,Sales!$B$7:$B$54,$F25,Sales!$C$7:$C$54,$N25)/SUMIFS(Sales!$E$7:$E$54,Sales!$C$7:$C$54,$N25)</f>
        <v>6.9121730629464501E-2</v>
      </c>
      <c r="P25" s="120">
        <f>O25*(INDEX(Annual!$O$9:$O$22,MATCH($AC25,Annual!$AD$9:$AD$22,0)))</f>
        <v>439.61420680339421</v>
      </c>
      <c r="Q25" s="134">
        <f>INDEX(Inputs!$E$114:$E$125,MATCH(F25,Inputs!$C$114:$C$125,0))</f>
        <v>9.7397110361162206E-2</v>
      </c>
      <c r="R25" s="840">
        <f>Q25*INDEX(Annual!$U$9:$U$22,MATCH(AC25,Annual!$AD$9:$AD$22,0))</f>
        <v>424.45660695394491</v>
      </c>
      <c r="S25" s="164">
        <f t="shared" si="11"/>
        <v>138.50019084907223</v>
      </c>
      <c r="T25" s="165">
        <f>INDEX(Inputs!$F$114:$F$125,MATCH(F25,Inputs!$C$114:$C$125,0))</f>
        <v>2.044094028325303E-2</v>
      </c>
      <c r="U25" s="264">
        <f>T25*IF(D25="HP prior to CVEO",INDEX(Annual!$P$9:$P$22,MATCH(AC25,Annual!$AD$9:$AD$22,0)),INDEX(Annual!$V$9:$V$22,MATCH(AC25,Annual!$AD$9:$AD$22,0)))</f>
        <v>117.44996349832091</v>
      </c>
      <c r="V25" s="222">
        <f>IF(E25="No",0,_xlfn.IFNA(INDEX(Inputs!$E$50:$E$53,MATCH("Events in "&amp;F25,Inputs!$C$50:$C$53,0)),0)*Inputs!$E$46*Inputs!$E$54)</f>
        <v>13.56</v>
      </c>
      <c r="W25" s="166">
        <f>V25*(1-Inputs!$E$48)</f>
        <v>1.3559999999999997</v>
      </c>
      <c r="X25" s="120">
        <f t="shared" si="1"/>
        <v>558.42017030171507</v>
      </c>
      <c r="Y25" s="120">
        <f t="shared" si="2"/>
        <v>133.96356334777016</v>
      </c>
      <c r="Z25" s="20">
        <f t="shared" si="3"/>
        <v>53.71231072037741</v>
      </c>
      <c r="AA25" s="20">
        <f t="shared" si="9"/>
        <v>0</v>
      </c>
      <c r="AB25" s="21">
        <f t="shared" si="4"/>
        <v>0</v>
      </c>
      <c r="AC25" s="185" t="str">
        <f t="shared" si="8"/>
        <v>ResidentialOilDuctlessYes</v>
      </c>
      <c r="AD25" t="s">
        <v>27</v>
      </c>
      <c r="AG25" s="86"/>
      <c r="AI25" s="58"/>
    </row>
    <row r="26" spans="2:35" x14ac:dyDescent="0.25">
      <c r="B26" s="36" t="s">
        <v>182</v>
      </c>
      <c r="C26" t="s">
        <v>130</v>
      </c>
      <c r="D26" t="s">
        <v>131</v>
      </c>
      <c r="E26" t="s">
        <v>233</v>
      </c>
      <c r="F26" s="18" t="s">
        <v>107</v>
      </c>
      <c r="G26" s="239">
        <f>IF($B26="Residential",0,Inputs!$E$103)</f>
        <v>0</v>
      </c>
      <c r="H26" s="162">
        <f>Inputs!$E$98/12</f>
        <v>10</v>
      </c>
      <c r="I26" s="184">
        <f>INDEX(Inputs!$D$114:$D$125,MATCH(F26,Inputs!$C$114:$C$125,0))</f>
        <v>5.5409999999999994E-2</v>
      </c>
      <c r="J26" s="161">
        <f>Inputs!$E$100</f>
        <v>0.29464000000000001</v>
      </c>
      <c r="K26" s="139">
        <f>Inputs!$E$101</f>
        <v>2.8649999999999998E-2</v>
      </c>
      <c r="L26" s="791">
        <f>EES!$I$23</f>
        <v>3.0100000000000023E-3</v>
      </c>
      <c r="M26" s="190">
        <f t="shared" si="10"/>
        <v>0.32630000000000003</v>
      </c>
      <c r="N26" s="192" t="str">
        <f t="shared" si="0"/>
        <v>R1RESIDENTIAL</v>
      </c>
      <c r="O26" s="134">
        <f>SUMIFS(Sales!$E$7:$E$54,Sales!$B$7:$B$54,$F26,Sales!$C$7:$C$54,$N26)/SUMIFS(Sales!$E$7:$E$54,Sales!$C$7:$C$54,$N26)</f>
        <v>0.12125531729888978</v>
      </c>
      <c r="P26" s="120">
        <f>O26*(INDEX(Annual!$O$9:$O$22,MATCH($AC26,Annual!$AD$9:$AD$22,0)))</f>
        <v>771.18381802093893</v>
      </c>
      <c r="Q26" s="134">
        <f>INDEX(Inputs!$E$114:$E$125,MATCH(F26,Inputs!$C$114:$C$125,0))</f>
        <v>0.10459025798272056</v>
      </c>
      <c r="R26" s="840">
        <f>Q26*INDEX(Annual!$U$9:$U$22,MATCH(AC26,Annual!$AD$9:$AD$22,0))</f>
        <v>455.8043442886962</v>
      </c>
      <c r="S26" s="164">
        <f t="shared" si="11"/>
        <v>148.7289575414016</v>
      </c>
      <c r="T26" s="165">
        <f>INDEX(Inputs!$F$114:$F$125,MATCH(F26,Inputs!$C$114:$C$125,0))</f>
        <v>3.9421813403416554E-3</v>
      </c>
      <c r="U26" s="264">
        <f>T26*IF(D26="HP prior to CVEO",INDEX(Annual!$P$9:$P$22,MATCH(AC26,Annual!$AD$9:$AD$22,0)),INDEX(Annual!$V$9:$V$22,MATCH(AC26,Annual!$AD$9:$AD$22,0)))</f>
        <v>22.651064388961888</v>
      </c>
      <c r="V26" s="222">
        <f>IF(E26="No",0,_xlfn.IFNA(INDEX(Inputs!$E$50:$E$53,MATCH("Events in "&amp;F26,Inputs!$C$50:$C$53,0)),0)*Inputs!$E$46*Inputs!$E$54)</f>
        <v>183.06</v>
      </c>
      <c r="W26" s="166">
        <f>V26*(1-Inputs!$E$48)</f>
        <v>18.305999999999997</v>
      </c>
      <c r="X26" s="120">
        <f t="shared" si="1"/>
        <v>812.14088240990088</v>
      </c>
      <c r="Y26" s="120">
        <f t="shared" si="2"/>
        <v>356.33653812120468</v>
      </c>
      <c r="Z26" s="20">
        <f t="shared" si="3"/>
        <v>126.2726123889491</v>
      </c>
      <c r="AA26" s="20">
        <f t="shared" si="9"/>
        <v>0</v>
      </c>
      <c r="AB26" s="21">
        <f t="shared" si="4"/>
        <v>0</v>
      </c>
      <c r="AC26" s="185" t="str">
        <f t="shared" si="8"/>
        <v>ResidentialOilDuctlessYes</v>
      </c>
      <c r="AD26" t="s">
        <v>27</v>
      </c>
      <c r="AG26" s="86"/>
      <c r="AI26" s="58"/>
    </row>
    <row r="27" spans="2:35" x14ac:dyDescent="0.25">
      <c r="B27" s="36" t="s">
        <v>182</v>
      </c>
      <c r="C27" t="s">
        <v>130</v>
      </c>
      <c r="D27" t="s">
        <v>131</v>
      </c>
      <c r="E27" t="s">
        <v>233</v>
      </c>
      <c r="F27" s="18" t="s">
        <v>108</v>
      </c>
      <c r="G27" s="239">
        <f>IF($B27="Residential",0,Inputs!$E$103)</f>
        <v>0</v>
      </c>
      <c r="H27" s="162">
        <f>Inputs!$E$98/12</f>
        <v>10</v>
      </c>
      <c r="I27" s="184">
        <f>INDEX(Inputs!$D$114:$D$125,MATCH(F27,Inputs!$C$114:$C$125,0))</f>
        <v>5.1479999999999998E-2</v>
      </c>
      <c r="J27" s="161">
        <f>Inputs!$E$100</f>
        <v>0.29464000000000001</v>
      </c>
      <c r="K27" s="139">
        <f>Inputs!$E$101</f>
        <v>2.8649999999999998E-2</v>
      </c>
      <c r="L27" s="791">
        <f>EES!$I$23</f>
        <v>3.0100000000000023E-3</v>
      </c>
      <c r="M27" s="190">
        <f t="shared" si="10"/>
        <v>0.32630000000000003</v>
      </c>
      <c r="N27" s="192" t="str">
        <f t="shared" si="0"/>
        <v>R1RESIDENTIAL</v>
      </c>
      <c r="O27" s="134">
        <f>SUMIFS(Sales!$E$7:$E$54,Sales!$B$7:$B$54,$F27,Sales!$C$7:$C$54,$N27)/SUMIFS(Sales!$E$7:$E$54,Sales!$C$7:$C$54,$N27)</f>
        <v>0.14415817495028674</v>
      </c>
      <c r="P27" s="120">
        <f>O27*(INDEX(Annual!$O$9:$O$22,MATCH($AC27,Annual!$AD$9:$AD$22,0)))</f>
        <v>916.84599268382362</v>
      </c>
      <c r="Q27" s="134">
        <f>INDEX(Inputs!$E$114:$E$125,MATCH(F27,Inputs!$C$114:$C$125,0))</f>
        <v>9.9163535033348085E-2</v>
      </c>
      <c r="R27" s="840">
        <f>Q27*INDEX(Annual!$U$9:$U$22,MATCH(AC27,Annual!$AD$9:$AD$22,0))</f>
        <v>432.15468567533094</v>
      </c>
      <c r="S27" s="164">
        <f t="shared" si="11"/>
        <v>141.01207393586051</v>
      </c>
      <c r="T27" s="165">
        <f>INDEX(Inputs!$F$114:$F$125,MATCH(F27,Inputs!$C$114:$C$125,0))</f>
        <v>5.5482552197401083E-3</v>
      </c>
      <c r="U27" s="264">
        <f>T27*IF(D27="HP prior to CVEO",INDEX(Annual!$P$9:$P$22,MATCH(AC27,Annual!$AD$9:$AD$22,0)),INDEX(Annual!$V$9:$V$22,MATCH(AC27,Annual!$AD$9:$AD$22,0)))</f>
        <v>31.879275806687108</v>
      </c>
      <c r="V27" s="222">
        <f>IF(E27="No",0,_xlfn.IFNA(INDEX(Inputs!$E$50:$E$53,MATCH("Events in "&amp;F27,Inputs!$C$50:$C$53,0)),0)*Inputs!$E$46*Inputs!$E$54)</f>
        <v>108.48</v>
      </c>
      <c r="W27" s="166">
        <f>V27*(1-Inputs!$E$48)</f>
        <v>10.847999999999997</v>
      </c>
      <c r="X27" s="120">
        <f t="shared" si="1"/>
        <v>959.57326849051071</v>
      </c>
      <c r="Y27" s="120">
        <f t="shared" si="2"/>
        <v>527.41858281517978</v>
      </c>
      <c r="Z27" s="20">
        <f t="shared" si="3"/>
        <v>182.09668357259318</v>
      </c>
      <c r="AA27" s="20">
        <f t="shared" si="9"/>
        <v>0</v>
      </c>
      <c r="AB27" s="21">
        <f t="shared" si="4"/>
        <v>0</v>
      </c>
      <c r="AC27" s="185" t="str">
        <f t="shared" si="8"/>
        <v>ResidentialOilDuctlessYes</v>
      </c>
      <c r="AD27" t="s">
        <v>27</v>
      </c>
      <c r="AG27" s="86"/>
      <c r="AI27" s="58"/>
    </row>
    <row r="28" spans="2:35" x14ac:dyDescent="0.25">
      <c r="B28" s="36" t="s">
        <v>182</v>
      </c>
      <c r="C28" t="s">
        <v>130</v>
      </c>
      <c r="D28" t="s">
        <v>131</v>
      </c>
      <c r="E28" t="s">
        <v>233</v>
      </c>
      <c r="F28" s="18" t="s">
        <v>109</v>
      </c>
      <c r="G28" s="239">
        <f>IF($B28="Residential",0,Inputs!$E$103)</f>
        <v>0</v>
      </c>
      <c r="H28" s="162">
        <f>Inputs!$E$98/12</f>
        <v>10</v>
      </c>
      <c r="I28" s="184">
        <f>INDEX(Inputs!$D$114:$D$125,MATCH(F28,Inputs!$C$114:$C$125,0))</f>
        <v>5.4880000000000005E-2</v>
      </c>
      <c r="J28" s="161">
        <f>Inputs!$E$100</f>
        <v>0.29464000000000001</v>
      </c>
      <c r="K28" s="139">
        <f>Inputs!$E$101</f>
        <v>2.8649999999999998E-2</v>
      </c>
      <c r="L28" s="791">
        <f>EES!$I$23</f>
        <v>3.0100000000000023E-3</v>
      </c>
      <c r="M28" s="190">
        <f t="shared" si="10"/>
        <v>0.32630000000000003</v>
      </c>
      <c r="N28" s="192" t="str">
        <f t="shared" si="0"/>
        <v>R1RESIDENTIAL</v>
      </c>
      <c r="O28" s="134">
        <f>SUMIFS(Sales!$E$7:$E$54,Sales!$B$7:$B$54,$F28,Sales!$C$7:$C$54,$N28)/SUMIFS(Sales!$E$7:$E$54,Sales!$C$7:$C$54,$N28)</f>
        <v>9.6628881563244493E-2</v>
      </c>
      <c r="P28" s="120">
        <f>O28*(INDEX(Annual!$O$9:$O$22,MATCH($AC28,Annual!$AD$9:$AD$22,0)))</f>
        <v>614.55968674223493</v>
      </c>
      <c r="Q28" s="134">
        <f>INDEX(Inputs!$E$114:$E$125,MATCH(F28,Inputs!$C$114:$C$125,0))</f>
        <v>9.3858976615798895E-2</v>
      </c>
      <c r="R28" s="840">
        <f>Q28*INDEX(Annual!$U$9:$U$22,MATCH(AC28,Annual!$AD$9:$AD$22,0))</f>
        <v>409.0374200916516</v>
      </c>
      <c r="S28" s="164">
        <f t="shared" si="11"/>
        <v>133.46891017590593</v>
      </c>
      <c r="T28" s="165">
        <f>INDEX(Inputs!$F$114:$F$125,MATCH(F28,Inputs!$C$114:$C$125,0))</f>
        <v>1.9272886552781428E-2</v>
      </c>
      <c r="U28" s="264">
        <f>T28*IF(D28="HP prior to CVEO",INDEX(Annual!$P$9:$P$22,MATCH(AC28,Annual!$AD$9:$AD$22,0)),INDEX(Annual!$V$9:$V$22,MATCH(AC28,Annual!$AD$9:$AD$22,0)))</f>
        <v>110.73853701270258</v>
      </c>
      <c r="V28" s="222">
        <f>IF(E28="No",0,_xlfn.IFNA(INDEX(Inputs!$E$50:$E$53,MATCH("Events in "&amp;F28,Inputs!$C$50:$C$53,0)),0)*Inputs!$E$46*Inputs!$E$54)</f>
        <v>0</v>
      </c>
      <c r="W28" s="166">
        <f>V28*(1-Inputs!$E$48)</f>
        <v>0</v>
      </c>
      <c r="X28" s="120">
        <f t="shared" si="1"/>
        <v>725.29822375493745</v>
      </c>
      <c r="Y28" s="120">
        <f t="shared" si="2"/>
        <v>316.26080366328586</v>
      </c>
      <c r="Z28" s="20">
        <f t="shared" si="3"/>
        <v>113.19590023533019</v>
      </c>
      <c r="AA28" s="20">
        <f t="shared" si="9"/>
        <v>0</v>
      </c>
      <c r="AB28" s="21">
        <f t="shared" si="4"/>
        <v>0</v>
      </c>
      <c r="AC28" s="185" t="str">
        <f t="shared" si="8"/>
        <v>ResidentialOilDuctlessYes</v>
      </c>
      <c r="AD28" t="s">
        <v>27</v>
      </c>
      <c r="AG28" s="86"/>
      <c r="AI28" s="58"/>
    </row>
    <row r="29" spans="2:35" x14ac:dyDescent="0.25">
      <c r="B29" s="36" t="s">
        <v>182</v>
      </c>
      <c r="C29" t="s">
        <v>130</v>
      </c>
      <c r="D29" t="s">
        <v>131</v>
      </c>
      <c r="E29" t="s">
        <v>233</v>
      </c>
      <c r="F29" s="18" t="s">
        <v>110</v>
      </c>
      <c r="G29" s="239">
        <f>IF($B29="Residential",0,Inputs!$E$103)</f>
        <v>0</v>
      </c>
      <c r="H29" s="162">
        <f>Inputs!$E$98/12</f>
        <v>10</v>
      </c>
      <c r="I29" s="184">
        <f>INDEX(Inputs!$D$114:$D$125,MATCH(F29,Inputs!$C$114:$C$125,0))</f>
        <v>5.9859999999999997E-2</v>
      </c>
      <c r="J29" s="161">
        <f>Inputs!$E$100</f>
        <v>0.29464000000000001</v>
      </c>
      <c r="K29" s="139">
        <f>Inputs!$E$101</f>
        <v>2.8649999999999998E-2</v>
      </c>
      <c r="L29" s="791">
        <f>EES!$I$23</f>
        <v>3.0100000000000023E-3</v>
      </c>
      <c r="M29" s="190">
        <f t="shared" si="10"/>
        <v>0.32630000000000003</v>
      </c>
      <c r="N29" s="192" t="str">
        <f t="shared" si="0"/>
        <v>R1RESIDENTIAL</v>
      </c>
      <c r="O29" s="134">
        <f>SUMIFS(Sales!$E$7:$E$54,Sales!$B$7:$B$54,$F29,Sales!$C$7:$C$54,$N29)/SUMIFS(Sales!$E$7:$E$54,Sales!$C$7:$C$54,$N29)</f>
        <v>7.00257602088772E-2</v>
      </c>
      <c r="P29" s="120">
        <f>O29*(INDEX(Annual!$O$9:$O$22,MATCH($AC29,Annual!$AD$9:$AD$22,0)))</f>
        <v>445.36383492845897</v>
      </c>
      <c r="Q29" s="134">
        <f>INDEX(Inputs!$E$114:$E$125,MATCH(F29,Inputs!$C$114:$C$125,0))</f>
        <v>7.6465910496739911E-2</v>
      </c>
      <c r="R29" s="840">
        <f>Q29*INDEX(Annual!$U$9:$U$22,MATCH(AC29,Annual!$AD$9:$AD$22,0))</f>
        <v>333.23843794479251</v>
      </c>
      <c r="S29" s="164">
        <f t="shared" si="11"/>
        <v>108.73570230138581</v>
      </c>
      <c r="T29" s="165">
        <f>INDEX(Inputs!$F$114:$F$125,MATCH(F29,Inputs!$C$114:$C$125,0))</f>
        <v>4.0589867133888159E-2</v>
      </c>
      <c r="U29" s="264">
        <f>T29*IF(D29="HP prior to CVEO",INDEX(Annual!$P$9:$P$22,MATCH(AC29,Annual!$AD$9:$AD$22,0)),INDEX(Annual!$V$9:$V$22,MATCH(AC29,Annual!$AD$9:$AD$22,0)))</f>
        <v>233.22207037523725</v>
      </c>
      <c r="V29" s="222">
        <f>IF(E29="No",0,_xlfn.IFNA(INDEX(Inputs!$E$50:$E$53,MATCH("Events in "&amp;F29,Inputs!$C$50:$C$53,0)),0)*Inputs!$E$46*Inputs!$E$54)</f>
        <v>0</v>
      </c>
      <c r="W29" s="166">
        <f>V29*(1-Inputs!$E$48)</f>
        <v>0</v>
      </c>
      <c r="X29" s="120">
        <f t="shared" si="1"/>
        <v>678.58590530369622</v>
      </c>
      <c r="Y29" s="120">
        <f t="shared" si="2"/>
        <v>345.34746735890371</v>
      </c>
      <c r="Z29" s="20">
        <f t="shared" si="3"/>
        <v>122.68687859921029</v>
      </c>
      <c r="AA29" s="20">
        <f t="shared" si="9"/>
        <v>0</v>
      </c>
      <c r="AB29" s="21">
        <f t="shared" si="4"/>
        <v>0</v>
      </c>
      <c r="AC29" s="185" t="str">
        <f t="shared" si="8"/>
        <v>ResidentialOilDuctlessYes</v>
      </c>
      <c r="AD29" t="s">
        <v>27</v>
      </c>
      <c r="AG29" s="86"/>
      <c r="AI29" s="58"/>
    </row>
    <row r="30" spans="2:35" x14ac:dyDescent="0.25">
      <c r="B30" s="36" t="s">
        <v>182</v>
      </c>
      <c r="C30" t="s">
        <v>130</v>
      </c>
      <c r="D30" t="s">
        <v>131</v>
      </c>
      <c r="E30" t="s">
        <v>233</v>
      </c>
      <c r="F30" s="18" t="s">
        <v>111</v>
      </c>
      <c r="G30" s="239">
        <f>IF($B30="Residential",0,Inputs!$E$103)</f>
        <v>0</v>
      </c>
      <c r="H30" s="162">
        <f>Inputs!$E$98/12</f>
        <v>10</v>
      </c>
      <c r="I30" s="184">
        <f>INDEX(Inputs!$D$114:$D$125,MATCH(F30,Inputs!$C$114:$C$125,0))</f>
        <v>0.10368000000000001</v>
      </c>
      <c r="J30" s="161">
        <f>Inputs!$E$100</f>
        <v>0.29464000000000001</v>
      </c>
      <c r="K30" s="139">
        <f>Inputs!$E$101</f>
        <v>2.8649999999999998E-2</v>
      </c>
      <c r="L30" s="791">
        <f>EES!$I$23</f>
        <v>3.0100000000000023E-3</v>
      </c>
      <c r="M30" s="190">
        <f t="shared" si="10"/>
        <v>0.32630000000000003</v>
      </c>
      <c r="N30" s="192" t="str">
        <f t="shared" si="0"/>
        <v>R1RESIDENTIAL</v>
      </c>
      <c r="O30" s="134">
        <f>SUMIFS(Sales!$E$7:$E$54,Sales!$B$7:$B$54,$F30,Sales!$C$7:$C$54,$N30)/SUMIFS(Sales!$E$7:$E$54,Sales!$C$7:$C$54,$N30)</f>
        <v>5.5795384714951879E-2</v>
      </c>
      <c r="P30" s="120">
        <f>O30*(INDEX(Annual!$O$9:$O$22,MATCH($AC30,Annual!$AD$9:$AD$22,0)))</f>
        <v>354.85864678709396</v>
      </c>
      <c r="Q30" s="134">
        <f>INDEX(Inputs!$E$114:$E$125,MATCH(F30,Inputs!$C$114:$C$125,0))</f>
        <v>5.8509626541612472E-2</v>
      </c>
      <c r="R30" s="840">
        <f>Q30*INDEX(Annual!$U$9:$U$22,MATCH(AC30,Annual!$AD$9:$AD$22,0))</f>
        <v>254.98495246834716</v>
      </c>
      <c r="S30" s="164">
        <f t="shared" si="11"/>
        <v>83.201589990421681</v>
      </c>
      <c r="T30" s="165">
        <f>INDEX(Inputs!$F$114:$F$125,MATCH(F30,Inputs!$C$114:$C$125,0))</f>
        <v>0.10643889618922471</v>
      </c>
      <c r="U30" s="264">
        <f>T30*IF(D30="HP prior to CVEO",INDEX(Annual!$P$9:$P$22,MATCH(AC30,Annual!$AD$9:$AD$22,0)),INDEX(Annual!$V$9:$V$22,MATCH(AC30,Annual!$AD$9:$AD$22,0)))</f>
        <v>611.57873850197109</v>
      </c>
      <c r="V30" s="222">
        <f>IF(E30="No",0,_xlfn.IFNA(INDEX(Inputs!$E$50:$E$53,MATCH("Events in "&amp;F30,Inputs!$C$50:$C$53,0)),0)*Inputs!$E$46*Inputs!$E$54)</f>
        <v>0</v>
      </c>
      <c r="W30" s="166">
        <f>V30*(1-Inputs!$E$48)</f>
        <v>0</v>
      </c>
      <c r="X30" s="120">
        <f t="shared" si="1"/>
        <v>966.43738528906511</v>
      </c>
      <c r="Y30" s="120">
        <f t="shared" si="2"/>
        <v>711.45243282071795</v>
      </c>
      <c r="Z30" s="20">
        <f t="shared" si="3"/>
        <v>242.14692882940028</v>
      </c>
      <c r="AA30" s="20">
        <f t="shared" si="9"/>
        <v>0</v>
      </c>
      <c r="AB30" s="21">
        <f t="shared" si="4"/>
        <v>0</v>
      </c>
      <c r="AC30" s="185" t="str">
        <f t="shared" si="8"/>
        <v>ResidentialOilDuctlessYes</v>
      </c>
      <c r="AD30" t="s">
        <v>27</v>
      </c>
      <c r="AG30" s="86"/>
      <c r="AI30" s="58"/>
    </row>
    <row r="31" spans="2:35" x14ac:dyDescent="0.25">
      <c r="B31" s="36" t="s">
        <v>182</v>
      </c>
      <c r="C31" t="s">
        <v>130</v>
      </c>
      <c r="D31" t="s">
        <v>131</v>
      </c>
      <c r="E31" t="s">
        <v>233</v>
      </c>
      <c r="F31" s="18" t="s">
        <v>112</v>
      </c>
      <c r="G31" s="239">
        <f>IF($B31="Residential",0,Inputs!$E$103)</f>
        <v>0</v>
      </c>
      <c r="H31" s="162">
        <f>Inputs!$E$98/12</f>
        <v>10</v>
      </c>
      <c r="I31" s="184">
        <f>INDEX(Inputs!$D$114:$D$125,MATCH(F31,Inputs!$C$114:$C$125,0))</f>
        <v>7.7920000000000003E-2</v>
      </c>
      <c r="J31" s="161">
        <f>Inputs!$E$100</f>
        <v>0.29464000000000001</v>
      </c>
      <c r="K31" s="139">
        <f>Inputs!$E$101</f>
        <v>2.8649999999999998E-2</v>
      </c>
      <c r="L31" s="791">
        <f>EES!$I$23</f>
        <v>3.0100000000000023E-3</v>
      </c>
      <c r="M31" s="190">
        <f t="shared" si="10"/>
        <v>0.32630000000000003</v>
      </c>
      <c r="N31" s="192" t="str">
        <f t="shared" si="0"/>
        <v>R1RESIDENTIAL</v>
      </c>
      <c r="O31" s="134">
        <f>SUMIFS(Sales!$E$7:$E$54,Sales!$B$7:$B$54,$F31,Sales!$C$7:$C$54,$N31)/SUMIFS(Sales!$E$7:$E$54,Sales!$C$7:$C$54,$N31)</f>
        <v>8.2806921863112365E-2</v>
      </c>
      <c r="P31" s="120">
        <f>O31*(INDEX(Annual!$O$9:$O$22,MATCH($AC31,Annual!$AD$9:$AD$22,0)))</f>
        <v>526.65202304939464</v>
      </c>
      <c r="Q31" s="134">
        <f>INDEX(Inputs!$E$114:$E$125,MATCH(F31,Inputs!$C$114:$C$125,0))</f>
        <v>4.8504549439315578E-2</v>
      </c>
      <c r="R31" s="840">
        <f>Q31*INDEX(Annual!$U$9:$U$22,MATCH(AC31,Annual!$AD$9:$AD$22,0))</f>
        <v>211.38282645653729</v>
      </c>
      <c r="S31" s="164">
        <f t="shared" si="11"/>
        <v>68.974216272768118</v>
      </c>
      <c r="T31" s="165">
        <f>INDEX(Inputs!$F$114:$F$125,MATCH(F31,Inputs!$C$114:$C$125,0))</f>
        <v>0.15389107898963353</v>
      </c>
      <c r="U31" s="264">
        <f>T31*IF(D31="HP prior to CVEO",INDEX(Annual!$P$9:$P$22,MATCH(AC31,Annual!$AD$9:$AD$22,0)),INDEX(Annual!$V$9:$V$22,MATCH(AC31,Annual!$AD$9:$AD$22,0)))</f>
        <v>884.23043948021609</v>
      </c>
      <c r="V31" s="222">
        <f>IF(E31="No",0,_xlfn.IFNA(INDEX(Inputs!$E$50:$E$53,MATCH("Events in "&amp;F31,Inputs!$C$50:$C$53,0)),0)*Inputs!$E$46*Inputs!$E$54)</f>
        <v>0</v>
      </c>
      <c r="W31" s="166">
        <f>V31*(1-Inputs!$E$48)</f>
        <v>0</v>
      </c>
      <c r="X31" s="120">
        <f t="shared" si="1"/>
        <v>1410.8824625296106</v>
      </c>
      <c r="Y31" s="120">
        <f t="shared" si="2"/>
        <v>1199.4996360730734</v>
      </c>
      <c r="Z31" s="20">
        <f t="shared" si="3"/>
        <v>401.39673125064388</v>
      </c>
      <c r="AA31" s="20">
        <f t="shared" si="9"/>
        <v>0</v>
      </c>
      <c r="AB31" s="21">
        <f t="shared" si="4"/>
        <v>0</v>
      </c>
      <c r="AC31" s="185" t="str">
        <f t="shared" si="8"/>
        <v>ResidentialOilDuctlessYes</v>
      </c>
      <c r="AD31" t="s">
        <v>27</v>
      </c>
      <c r="AG31" s="86"/>
      <c r="AI31" s="58"/>
    </row>
    <row r="32" spans="2:35" x14ac:dyDescent="0.25">
      <c r="B32" s="36" t="s">
        <v>182</v>
      </c>
      <c r="C32" t="s">
        <v>160</v>
      </c>
      <c r="D32" t="s">
        <v>131</v>
      </c>
      <c r="E32" t="s">
        <v>234</v>
      </c>
      <c r="F32" s="18" t="s">
        <v>101</v>
      </c>
      <c r="G32" s="239">
        <f>IF($B32="Residential",0,Inputs!$E$103)</f>
        <v>0</v>
      </c>
      <c r="H32" s="162">
        <f>Inputs!$E$98/12</f>
        <v>10</v>
      </c>
      <c r="I32" s="184">
        <f>INDEX(Inputs!$D$114:$D$125,MATCH(F32,Inputs!$C$114:$C$125,0))</f>
        <v>4.6359999999999998E-2</v>
      </c>
      <c r="J32" s="161">
        <f>Inputs!$E$100</f>
        <v>0.29464000000000001</v>
      </c>
      <c r="K32" s="139">
        <f>Inputs!$E$101</f>
        <v>2.8649999999999998E-2</v>
      </c>
      <c r="L32" s="791">
        <f>EES!$I$23</f>
        <v>3.0100000000000023E-3</v>
      </c>
      <c r="M32" s="190">
        <f t="shared" si="5"/>
        <v>0.32630000000000003</v>
      </c>
      <c r="N32" s="192" t="str">
        <f t="shared" si="0"/>
        <v>R1RESIDENTIAL</v>
      </c>
      <c r="O32" s="134">
        <f>SUMIFS(Sales!$E$7:$E$54,Sales!$B$7:$B$54,$F32,Sales!$C$7:$C$54,$N32)/SUMIFS(Sales!$E$7:$E$54,Sales!$C$7:$C$54,$N32)</f>
        <v>8.3575449932271006E-2</v>
      </c>
      <c r="P32" s="120">
        <f>O32*(INDEX(Annual!$O$9:$O$22,MATCH($AC32,Annual!$AD$9:$AD$22,0)))</f>
        <v>531.53986156924361</v>
      </c>
      <c r="Q32" s="134">
        <f>INDEX(Inputs!$E$114:$E$125,MATCH(F32,Inputs!$C$114:$C$125,0))</f>
        <v>5.9304226053352373E-2</v>
      </c>
      <c r="R32" s="840">
        <f>Q32*INDEX(Annual!$U$9:$U$22,MATCH(AC32,Annual!$AD$9:$AD$22,0))</f>
        <v>548.41912510760119</v>
      </c>
      <c r="S32" s="164">
        <f t="shared" si="6"/>
        <v>178.9491605226103</v>
      </c>
      <c r="T32" s="165">
        <f>INDEX(Inputs!$F$114:$F$125,MATCH(F32,Inputs!$C$114:$C$125,0))</f>
        <v>0.16338151554971528</v>
      </c>
      <c r="U32" s="264">
        <f>T32*IF(D32="HP prior to CVEO",INDEX(Annual!$P$9:$P$22,MATCH(AC32,Annual!$AD$9:$AD$22,0)),INDEX(Annual!$V$9:$V$22,MATCH(AC32,Annual!$AD$9:$AD$22,0)))</f>
        <v>1319.7740984085267</v>
      </c>
      <c r="V32" s="222">
        <f>IF(E32="No",0,_xlfn.IFNA(INDEX(Inputs!$E$50:$E$53,MATCH("Events in "&amp;F32,Inputs!$C$50:$C$53,0)),0)*Inputs!$E$46*Inputs!$E$54)</f>
        <v>0</v>
      </c>
      <c r="W32" s="166">
        <f>V32*(1-Inputs!$E$48)</f>
        <v>0</v>
      </c>
      <c r="X32" s="120">
        <f t="shared" si="1"/>
        <v>1851.3139599777703</v>
      </c>
      <c r="Y32" s="120">
        <f t="shared" si="2"/>
        <v>1302.8948348701692</v>
      </c>
      <c r="Z32" s="20">
        <f t="shared" si="3"/>
        <v>435.13458461813627</v>
      </c>
      <c r="AA32" s="20">
        <f t="shared" si="7"/>
        <v>0</v>
      </c>
      <c r="AB32" s="21">
        <f t="shared" si="4"/>
        <v>0</v>
      </c>
      <c r="AC32" s="185" t="str">
        <f t="shared" si="8"/>
        <v>ResidentialPropaneDuctlessNo</v>
      </c>
      <c r="AD32" t="s">
        <v>27</v>
      </c>
      <c r="AG32" s="86"/>
      <c r="AI32" s="58"/>
    </row>
    <row r="33" spans="2:35" x14ac:dyDescent="0.25">
      <c r="B33" s="36" t="s">
        <v>182</v>
      </c>
      <c r="C33" t="s">
        <v>160</v>
      </c>
      <c r="D33" t="s">
        <v>131</v>
      </c>
      <c r="E33" t="s">
        <v>234</v>
      </c>
      <c r="F33" s="18" t="s">
        <v>102</v>
      </c>
      <c r="G33" s="239">
        <f>IF($B33="Residential",0,Inputs!$E$103)</f>
        <v>0</v>
      </c>
      <c r="H33" s="162">
        <f>Inputs!$E$98/12</f>
        <v>10</v>
      </c>
      <c r="I33" s="184">
        <f>INDEX(Inputs!$D$114:$D$125,MATCH(F33,Inputs!$C$114:$C$125,0))</f>
        <v>3.5580000000000001E-2</v>
      </c>
      <c r="J33" s="161">
        <f>Inputs!$E$100</f>
        <v>0.29464000000000001</v>
      </c>
      <c r="K33" s="139">
        <f>Inputs!$E$101</f>
        <v>2.8649999999999998E-2</v>
      </c>
      <c r="L33" s="791">
        <f>EES!$I$23</f>
        <v>3.0100000000000023E-3</v>
      </c>
      <c r="M33" s="190">
        <f t="shared" si="5"/>
        <v>0.32630000000000003</v>
      </c>
      <c r="N33" s="192" t="str">
        <f t="shared" si="0"/>
        <v>R1RESIDENTIAL</v>
      </c>
      <c r="O33" s="134">
        <f>SUMIFS(Sales!$E$7:$E$54,Sales!$B$7:$B$54,$F33,Sales!$C$7:$C$54,$N33)/SUMIFS(Sales!$E$7:$E$54,Sales!$C$7:$C$54,$N33)</f>
        <v>7.9283880430769713E-2</v>
      </c>
      <c r="P33" s="120">
        <f>O33*(INDEX(Annual!$O$9:$O$22,MATCH($AC33,Annual!$AD$9:$AD$22,0)))</f>
        <v>504.2454795396954</v>
      </c>
      <c r="Q33" s="134">
        <f>INDEX(Inputs!$E$114:$E$125,MATCH(F33,Inputs!$C$114:$C$125,0))</f>
        <v>7.056160122921061E-2</v>
      </c>
      <c r="R33" s="840">
        <f>Q33*INDEX(Annual!$U$9:$U$22,MATCH(AC33,Annual!$AD$9:$AD$22,0))</f>
        <v>652.52232745608228</v>
      </c>
      <c r="S33" s="164">
        <f t="shared" si="6"/>
        <v>212.91803544891968</v>
      </c>
      <c r="T33" s="165">
        <f>INDEX(Inputs!$F$114:$F$125,MATCH(F33,Inputs!$C$114:$C$125,0))</f>
        <v>0.2087896043217988</v>
      </c>
      <c r="U33" s="264">
        <f>T33*IF(D33="HP prior to CVEO",INDEX(Annual!$P$9:$P$22,MATCH(AC33,Annual!$AD$9:$AD$22,0)),INDEX(Annual!$V$9:$V$22,MATCH(AC33,Annual!$AD$9:$AD$22,0)))</f>
        <v>1686.5745850975811</v>
      </c>
      <c r="V33" s="222">
        <f>IF(E33="No",0,_xlfn.IFNA(INDEX(Inputs!$E$50:$E$53,MATCH("Events in "&amp;F33,Inputs!$C$50:$C$53,0)),0)*Inputs!$E$46*Inputs!$E$54)</f>
        <v>0</v>
      </c>
      <c r="W33" s="166">
        <f>V33*(1-Inputs!$E$48)</f>
        <v>0</v>
      </c>
      <c r="X33" s="120">
        <f t="shared" si="1"/>
        <v>2190.8200646372766</v>
      </c>
      <c r="Y33" s="120">
        <f t="shared" si="2"/>
        <v>1538.2977371811944</v>
      </c>
      <c r="Z33" s="20">
        <f t="shared" si="3"/>
        <v>511.94655164222377</v>
      </c>
      <c r="AA33" s="20">
        <f t="shared" si="7"/>
        <v>0</v>
      </c>
      <c r="AB33" s="21">
        <f t="shared" si="4"/>
        <v>0</v>
      </c>
      <c r="AC33" s="185" t="str">
        <f t="shared" si="8"/>
        <v>ResidentialPropaneDuctlessNo</v>
      </c>
      <c r="AD33" t="s">
        <v>27</v>
      </c>
      <c r="AG33" s="86"/>
      <c r="AI33" s="58"/>
    </row>
    <row r="34" spans="2:35" x14ac:dyDescent="0.25">
      <c r="B34" s="36" t="s">
        <v>182</v>
      </c>
      <c r="C34" t="s">
        <v>160</v>
      </c>
      <c r="D34" t="s">
        <v>131</v>
      </c>
      <c r="E34" t="s">
        <v>234</v>
      </c>
      <c r="F34" s="18" t="s">
        <v>103</v>
      </c>
      <c r="G34" s="239">
        <f>IF($B34="Residential",0,Inputs!$E$103)</f>
        <v>0</v>
      </c>
      <c r="H34" s="162">
        <f>Inputs!$E$98/12</f>
        <v>10</v>
      </c>
      <c r="I34" s="184">
        <f>INDEX(Inputs!$D$114:$D$125,MATCH(F34,Inputs!$C$114:$C$125,0))</f>
        <v>3.8429999999999999E-2</v>
      </c>
      <c r="J34" s="161">
        <f>Inputs!$E$100</f>
        <v>0.29464000000000001</v>
      </c>
      <c r="K34" s="139">
        <f>Inputs!$E$101</f>
        <v>2.8649999999999998E-2</v>
      </c>
      <c r="L34" s="791">
        <f>EES!$I$23</f>
        <v>3.0100000000000023E-3</v>
      </c>
      <c r="M34" s="190">
        <f t="shared" si="5"/>
        <v>0.32630000000000003</v>
      </c>
      <c r="N34" s="192" t="str">
        <f t="shared" si="0"/>
        <v>R1RESIDENTIAL</v>
      </c>
      <c r="O34" s="134">
        <f>SUMIFS(Sales!$E$7:$E$54,Sales!$B$7:$B$54,$F34,Sales!$C$7:$C$54,$N34)/SUMIFS(Sales!$E$7:$E$54,Sales!$C$7:$C$54,$N34)</f>
        <v>7.0531220518429347E-2</v>
      </c>
      <c r="P34" s="120">
        <f>O34*(INDEX(Annual!$O$9:$O$22,MATCH($AC34,Annual!$AD$9:$AD$22,0)))</f>
        <v>448.57856249721067</v>
      </c>
      <c r="Q34" s="134">
        <f>INDEX(Inputs!$E$114:$E$125,MATCH(F34,Inputs!$C$114:$C$125,0))</f>
        <v>9.1691796536674613E-2</v>
      </c>
      <c r="R34" s="840">
        <f>Q34*INDEX(Annual!$U$9:$U$22,MATCH(AC34,Annual!$AD$9:$AD$22,0))</f>
        <v>847.92498246159494</v>
      </c>
      <c r="S34" s="164">
        <f t="shared" si="6"/>
        <v>276.67792177721844</v>
      </c>
      <c r="T34" s="165">
        <f>INDEX(Inputs!$F$114:$F$125,MATCH(F34,Inputs!$C$114:$C$125,0))</f>
        <v>0.14002044094028326</v>
      </c>
      <c r="U34" s="264">
        <f>T34*IF(D34="HP prior to CVEO",INDEX(Annual!$P$9:$P$22,MATCH(AC34,Annual!$AD$9:$AD$22,0)),INDEX(Annual!$V$9:$V$22,MATCH(AC34,Annual!$AD$9:$AD$22,0)))</f>
        <v>1131.0664525234829</v>
      </c>
      <c r="V34" s="222">
        <f>IF(E34="No",0,_xlfn.IFNA(INDEX(Inputs!$E$50:$E$53,MATCH("Events in "&amp;F34,Inputs!$C$50:$C$53,0)),0)*Inputs!$E$46*Inputs!$E$54)</f>
        <v>0</v>
      </c>
      <c r="W34" s="166">
        <f>V34*(1-Inputs!$E$48)</f>
        <v>0</v>
      </c>
      <c r="X34" s="120">
        <f t="shared" si="1"/>
        <v>1579.6450150206936</v>
      </c>
      <c r="Y34" s="120">
        <f t="shared" si="2"/>
        <v>731.72003255909863</v>
      </c>
      <c r="Z34" s="20">
        <f t="shared" si="3"/>
        <v>248.7602466240339</v>
      </c>
      <c r="AA34" s="20">
        <f t="shared" si="7"/>
        <v>0</v>
      </c>
      <c r="AB34" s="21">
        <f t="shared" si="4"/>
        <v>0</v>
      </c>
      <c r="AC34" s="185" t="str">
        <f t="shared" si="8"/>
        <v>ResidentialPropaneDuctlessNo</v>
      </c>
      <c r="AD34" t="s">
        <v>27</v>
      </c>
      <c r="AG34" s="86"/>
      <c r="AI34" s="58"/>
    </row>
    <row r="35" spans="2:35" x14ac:dyDescent="0.25">
      <c r="B35" s="36" t="s">
        <v>182</v>
      </c>
      <c r="C35" t="s">
        <v>160</v>
      </c>
      <c r="D35" t="s">
        <v>131</v>
      </c>
      <c r="E35" t="s">
        <v>234</v>
      </c>
      <c r="F35" s="18" t="s">
        <v>104</v>
      </c>
      <c r="G35" s="239">
        <f>IF($B35="Residential",0,Inputs!$E$103)</f>
        <v>0</v>
      </c>
      <c r="H35" s="162">
        <f>Inputs!$E$98/12</f>
        <v>10</v>
      </c>
      <c r="I35" s="184">
        <f>INDEX(Inputs!$D$114:$D$125,MATCH(F35,Inputs!$C$114:$C$125,0))</f>
        <v>3.9399999999999998E-2</v>
      </c>
      <c r="J35" s="161">
        <f>Inputs!$E$100</f>
        <v>0.29464000000000001</v>
      </c>
      <c r="K35" s="139">
        <f>Inputs!$E$101</f>
        <v>2.8649999999999998E-2</v>
      </c>
      <c r="L35" s="791">
        <f>EES!$I$23</f>
        <v>3.0100000000000023E-3</v>
      </c>
      <c r="M35" s="190">
        <f t="shared" si="5"/>
        <v>0.32630000000000003</v>
      </c>
      <c r="N35" s="192" t="str">
        <f t="shared" si="0"/>
        <v>R1RESIDENTIAL</v>
      </c>
      <c r="O35" s="134">
        <f>SUMIFS(Sales!$E$7:$E$54,Sales!$B$7:$B$54,$F35,Sales!$C$7:$C$54,$N35)/SUMIFS(Sales!$E$7:$E$54,Sales!$C$7:$C$54,$N35)</f>
        <v>6.4474909849621148E-2</v>
      </c>
      <c r="P35" s="120">
        <f>O35*(INDEX(Annual!$O$9:$O$22,MATCH($AC35,Annual!$AD$9:$AD$22,0)))</f>
        <v>410.06042664359052</v>
      </c>
      <c r="Q35" s="134">
        <f>INDEX(Inputs!$E$114:$E$125,MATCH(F35,Inputs!$C$114:$C$125,0))</f>
        <v>9.5902218316044743E-2</v>
      </c>
      <c r="R35" s="840">
        <f>Q35*INDEX(Annual!$U$9:$U$22,MATCH(AC35,Annual!$AD$9:$AD$22,0))</f>
        <v>886.86109177864125</v>
      </c>
      <c r="S35" s="164">
        <f t="shared" si="6"/>
        <v>289.38277424737066</v>
      </c>
      <c r="T35" s="165">
        <f>INDEX(Inputs!$F$114:$F$125,MATCH(F35,Inputs!$C$114:$C$125,0))</f>
        <v>8.1909767849321066E-2</v>
      </c>
      <c r="U35" s="264">
        <f>T35*IF(D35="HP prior to CVEO",INDEX(Annual!$P$9:$P$22,MATCH(AC35,Annual!$AD$9:$AD$22,0)),INDEX(Annual!$V$9:$V$22,MATCH(AC35,Annual!$AD$9:$AD$22,0)))</f>
        <v>661.65618338443562</v>
      </c>
      <c r="V35" s="222">
        <f>IF(E35="No",0,_xlfn.IFNA(INDEX(Inputs!$E$50:$E$53,MATCH("Events in "&amp;F35,Inputs!$C$50:$C$53,0)),0)*Inputs!$E$46*Inputs!$E$54)</f>
        <v>0</v>
      </c>
      <c r="W35" s="166">
        <f>V35*(1-Inputs!$E$48)</f>
        <v>0</v>
      </c>
      <c r="X35" s="120">
        <f t="shared" si="1"/>
        <v>1071.716610028026</v>
      </c>
      <c r="Y35" s="120">
        <f t="shared" si="2"/>
        <v>184.85551824938477</v>
      </c>
      <c r="Z35" s="20">
        <f t="shared" si="3"/>
        <v>70.318355604774254</v>
      </c>
      <c r="AA35" s="20">
        <f t="shared" si="7"/>
        <v>0</v>
      </c>
      <c r="AB35" s="21">
        <f t="shared" si="4"/>
        <v>0</v>
      </c>
      <c r="AC35" s="185" t="str">
        <f t="shared" si="8"/>
        <v>ResidentialPropaneDuctlessNo</v>
      </c>
      <c r="AD35" t="s">
        <v>27</v>
      </c>
      <c r="AG35" s="86"/>
      <c r="AI35" s="58"/>
    </row>
    <row r="36" spans="2:35" x14ac:dyDescent="0.25">
      <c r="B36" s="36" t="s">
        <v>182</v>
      </c>
      <c r="C36" t="s">
        <v>160</v>
      </c>
      <c r="D36" t="s">
        <v>131</v>
      </c>
      <c r="E36" t="s">
        <v>234</v>
      </c>
      <c r="F36" s="18" t="s">
        <v>105</v>
      </c>
      <c r="G36" s="239">
        <f>IF($B36="Residential",0,Inputs!$E$103)</f>
        <v>0</v>
      </c>
      <c r="H36" s="162">
        <f>Inputs!$E$98/12</f>
        <v>10</v>
      </c>
      <c r="I36" s="184">
        <f>INDEX(Inputs!$D$114:$D$125,MATCH(F36,Inputs!$C$114:$C$125,0))</f>
        <v>4.827E-2</v>
      </c>
      <c r="J36" s="161">
        <f>Inputs!$E$100</f>
        <v>0.29464000000000001</v>
      </c>
      <c r="K36" s="139">
        <f>Inputs!$E$101</f>
        <v>2.8649999999999998E-2</v>
      </c>
      <c r="L36" s="791">
        <f>EES!$I$23</f>
        <v>3.0100000000000023E-3</v>
      </c>
      <c r="M36" s="190">
        <f t="shared" si="5"/>
        <v>0.32630000000000003</v>
      </c>
      <c r="N36" s="192" t="str">
        <f t="shared" si="0"/>
        <v>R1RESIDENTIAL</v>
      </c>
      <c r="O36" s="134">
        <f>SUMIFS(Sales!$E$7:$E$54,Sales!$B$7:$B$54,$F36,Sales!$C$7:$C$54,$N36)/SUMIFS(Sales!$E$7:$E$54,Sales!$C$7:$C$54,$N36)</f>
        <v>6.2342368040081801E-2</v>
      </c>
      <c r="P36" s="120">
        <f>O36*(INDEX(Annual!$O$9:$O$22,MATCH($AC36,Annual!$AD$9:$AD$22,0)))</f>
        <v>396.49746073492025</v>
      </c>
      <c r="Q36" s="134">
        <f>INDEX(Inputs!$E$114:$E$125,MATCH(F36,Inputs!$C$114:$C$125,0))</f>
        <v>0.10405019139401983</v>
      </c>
      <c r="R36" s="840">
        <f>Q36*INDEX(Annual!$U$9:$U$22,MATCH(AC36,Annual!$AD$9:$AD$22,0))</f>
        <v>962.20992548238689</v>
      </c>
      <c r="S36" s="164">
        <f t="shared" si="6"/>
        <v>313.96909868490286</v>
      </c>
      <c r="T36" s="165">
        <f>INDEX(Inputs!$F$114:$F$125,MATCH(F36,Inputs!$C$114:$C$125,0))</f>
        <v>5.577456563001898E-2</v>
      </c>
      <c r="U36" s="264">
        <f>T36*IF(D36="HP prior to CVEO",INDEX(Annual!$P$9:$P$22,MATCH(AC36,Annual!$AD$9:$AD$22,0)),INDEX(Annual!$V$9:$V$22,MATCH(AC36,Annual!$AD$9:$AD$22,0)))</f>
        <v>450.53950455054263</v>
      </c>
      <c r="V36" s="222">
        <f>IF(E36="No",0,_xlfn.IFNA(INDEX(Inputs!$E$50:$E$53,MATCH("Events in "&amp;F36,Inputs!$C$50:$C$53,0)),0)*Inputs!$E$46*Inputs!$E$54)</f>
        <v>0</v>
      </c>
      <c r="W36" s="166">
        <f>V36*(1-Inputs!$E$48)</f>
        <v>0</v>
      </c>
      <c r="X36" s="120">
        <f t="shared" si="1"/>
        <v>847.03696528546288</v>
      </c>
      <c r="Y36" s="120">
        <f t="shared" si="2"/>
        <v>-115.17296019692401</v>
      </c>
      <c r="Z36" s="20">
        <f t="shared" si="3"/>
        <v>4.4406012112944779</v>
      </c>
      <c r="AA36" s="20">
        <f t="shared" si="7"/>
        <v>5.5593987887055221</v>
      </c>
      <c r="AB36" s="21">
        <f t="shared" si="4"/>
        <v>0</v>
      </c>
      <c r="AC36" s="185" t="str">
        <f t="shared" si="8"/>
        <v>ResidentialPropaneDuctlessNo</v>
      </c>
      <c r="AD36" t="s">
        <v>27</v>
      </c>
      <c r="AG36" s="86"/>
      <c r="AI36" s="58"/>
    </row>
    <row r="37" spans="2:35" x14ac:dyDescent="0.25">
      <c r="B37" s="36" t="s">
        <v>182</v>
      </c>
      <c r="C37" t="s">
        <v>160</v>
      </c>
      <c r="D37" t="s">
        <v>131</v>
      </c>
      <c r="E37" t="s">
        <v>234</v>
      </c>
      <c r="F37" s="18" t="s">
        <v>106</v>
      </c>
      <c r="G37" s="239">
        <f>IF($B37="Residential",0,Inputs!$E$103)</f>
        <v>0</v>
      </c>
      <c r="H37" s="162">
        <f>Inputs!$E$98/12</f>
        <v>10</v>
      </c>
      <c r="I37" s="184">
        <f>INDEX(Inputs!$D$114:$D$125,MATCH(F37,Inputs!$C$114:$C$125,0))</f>
        <v>5.8689999999999999E-2</v>
      </c>
      <c r="J37" s="161">
        <f>Inputs!$E$100</f>
        <v>0.29464000000000001</v>
      </c>
      <c r="K37" s="139">
        <f>Inputs!$E$101</f>
        <v>2.8649999999999998E-2</v>
      </c>
      <c r="L37" s="791">
        <f>EES!$I$23</f>
        <v>3.0100000000000023E-3</v>
      </c>
      <c r="M37" s="190">
        <f t="shared" si="5"/>
        <v>0.32630000000000003</v>
      </c>
      <c r="N37" s="192" t="str">
        <f t="shared" si="0"/>
        <v>R1RESIDENTIAL</v>
      </c>
      <c r="O37" s="134">
        <f>SUMIFS(Sales!$E$7:$E$54,Sales!$B$7:$B$54,$F37,Sales!$C$7:$C$54,$N37)/SUMIFS(Sales!$E$7:$E$54,Sales!$C$7:$C$54,$N37)</f>
        <v>6.9121730629464501E-2</v>
      </c>
      <c r="P37" s="120">
        <f>O37*(INDEX(Annual!$O$9:$O$22,MATCH($AC37,Annual!$AD$9:$AD$22,0)))</f>
        <v>439.61420680339421</v>
      </c>
      <c r="Q37" s="134">
        <f>INDEX(Inputs!$E$114:$E$125,MATCH(F37,Inputs!$C$114:$C$125,0))</f>
        <v>9.7397110361162206E-2</v>
      </c>
      <c r="R37" s="840">
        <f>Q37*INDEX(Annual!$U$9:$U$22,MATCH(AC37,Annual!$AD$9:$AD$22,0))</f>
        <v>900.68518901542302</v>
      </c>
      <c r="S37" s="164">
        <f t="shared" si="6"/>
        <v>293.89357717573256</v>
      </c>
      <c r="T37" s="165">
        <f>INDEX(Inputs!$F$114:$F$125,MATCH(F37,Inputs!$C$114:$C$125,0))</f>
        <v>2.044094028325303E-2</v>
      </c>
      <c r="U37" s="264">
        <f>T37*IF(D37="HP prior to CVEO",INDEX(Annual!$P$9:$P$22,MATCH(AC37,Annual!$AD$9:$AD$22,0)),INDEX(Annual!$V$9:$V$22,MATCH(AC37,Annual!$AD$9:$AD$22,0)))</f>
        <v>165.11919014941355</v>
      </c>
      <c r="V37" s="222">
        <f>IF(E37="No",0,_xlfn.IFNA(INDEX(Inputs!$E$50:$E$53,MATCH("Events in "&amp;F37,Inputs!$C$50:$C$53,0)),0)*Inputs!$E$46*Inputs!$E$54)</f>
        <v>0</v>
      </c>
      <c r="W37" s="166">
        <f>V37*(1-Inputs!$E$48)</f>
        <v>0</v>
      </c>
      <c r="X37" s="120">
        <f t="shared" si="1"/>
        <v>604.73339695280777</v>
      </c>
      <c r="Y37" s="120">
        <f t="shared" si="2"/>
        <v>-295.95179206261525</v>
      </c>
      <c r="Z37" s="20">
        <f t="shared" si="3"/>
        <v>-7.3694106761548888</v>
      </c>
      <c r="AA37" s="20">
        <f t="shared" si="7"/>
        <v>17.369410676154889</v>
      </c>
      <c r="AB37" s="21">
        <f t="shared" si="4"/>
        <v>0</v>
      </c>
      <c r="AC37" s="185" t="str">
        <f t="shared" si="8"/>
        <v>ResidentialPropaneDuctlessNo</v>
      </c>
      <c r="AD37" t="s">
        <v>27</v>
      </c>
      <c r="AG37" s="86"/>
      <c r="AI37" s="58"/>
    </row>
    <row r="38" spans="2:35" x14ac:dyDescent="0.25">
      <c r="B38" s="36" t="s">
        <v>182</v>
      </c>
      <c r="C38" t="s">
        <v>160</v>
      </c>
      <c r="D38" t="s">
        <v>131</v>
      </c>
      <c r="E38" t="s">
        <v>234</v>
      </c>
      <c r="F38" s="18" t="s">
        <v>107</v>
      </c>
      <c r="G38" s="239">
        <f>IF($B38="Residential",0,Inputs!$E$103)</f>
        <v>0</v>
      </c>
      <c r="H38" s="162">
        <f>Inputs!$E$98/12</f>
        <v>10</v>
      </c>
      <c r="I38" s="184">
        <f>INDEX(Inputs!$D$114:$D$125,MATCH(F38,Inputs!$C$114:$C$125,0))</f>
        <v>5.5409999999999994E-2</v>
      </c>
      <c r="J38" s="161">
        <f>Inputs!$E$100</f>
        <v>0.29464000000000001</v>
      </c>
      <c r="K38" s="139">
        <f>Inputs!$E$101</f>
        <v>2.8649999999999998E-2</v>
      </c>
      <c r="L38" s="791">
        <f>EES!$I$23</f>
        <v>3.0100000000000023E-3</v>
      </c>
      <c r="M38" s="190">
        <f t="shared" si="5"/>
        <v>0.32630000000000003</v>
      </c>
      <c r="N38" s="192" t="str">
        <f t="shared" si="0"/>
        <v>R1RESIDENTIAL</v>
      </c>
      <c r="O38" s="134">
        <f>SUMIFS(Sales!$E$7:$E$54,Sales!$B$7:$B$54,$F38,Sales!$C$7:$C$54,$N38)/SUMIFS(Sales!$E$7:$E$54,Sales!$C$7:$C$54,$N38)</f>
        <v>0.12125531729888978</v>
      </c>
      <c r="P38" s="120">
        <f>O38*(INDEX(Annual!$O$9:$O$22,MATCH($AC38,Annual!$AD$9:$AD$22,0)))</f>
        <v>771.18381802093893</v>
      </c>
      <c r="Q38" s="134">
        <f>INDEX(Inputs!$E$114:$E$125,MATCH(F38,Inputs!$C$114:$C$125,0))</f>
        <v>0.10459025798272056</v>
      </c>
      <c r="R38" s="840">
        <f>Q38*INDEX(Annual!$U$9:$U$22,MATCH(AC38,Annual!$AD$9:$AD$22,0))</f>
        <v>967.20422126509629</v>
      </c>
      <c r="S38" s="164">
        <f t="shared" si="6"/>
        <v>315.59873739880095</v>
      </c>
      <c r="T38" s="165">
        <f>INDEX(Inputs!$F$114:$F$125,MATCH(F38,Inputs!$C$114:$C$125,0))</f>
        <v>3.9421813403416554E-3</v>
      </c>
      <c r="U38" s="264">
        <f>T38*IF(D38="HP prior to CVEO",INDEX(Annual!$P$9:$P$22,MATCH(AC38,Annual!$AD$9:$AD$22,0)),INDEX(Annual!$V$9:$V$22,MATCH(AC38,Annual!$AD$9:$AD$22,0)))</f>
        <v>31.844415243101182</v>
      </c>
      <c r="V38" s="222">
        <f>IF(E38="No",0,_xlfn.IFNA(INDEX(Inputs!$E$50:$E$53,MATCH("Events in "&amp;F38,Inputs!$C$50:$C$53,0)),0)*Inputs!$E$46*Inputs!$E$54)</f>
        <v>0</v>
      </c>
      <c r="W38" s="166">
        <f>V38*(1-Inputs!$E$48)</f>
        <v>0</v>
      </c>
      <c r="X38" s="120">
        <f t="shared" si="1"/>
        <v>803.02823326404007</v>
      </c>
      <c r="Y38" s="120">
        <f t="shared" si="2"/>
        <v>-164.17598800105623</v>
      </c>
      <c r="Z38" s="20">
        <f t="shared" si="3"/>
        <v>0.9030085048614751</v>
      </c>
      <c r="AA38" s="20">
        <f t="shared" si="7"/>
        <v>9.0969914951385249</v>
      </c>
      <c r="AB38" s="21">
        <f t="shared" si="4"/>
        <v>0</v>
      </c>
      <c r="AC38" s="185" t="str">
        <f t="shared" si="8"/>
        <v>ResidentialPropaneDuctlessNo</v>
      </c>
      <c r="AD38" t="s">
        <v>27</v>
      </c>
      <c r="AG38" s="86"/>
      <c r="AI38" s="58"/>
    </row>
    <row r="39" spans="2:35" x14ac:dyDescent="0.25">
      <c r="B39" s="36" t="s">
        <v>182</v>
      </c>
      <c r="C39" t="s">
        <v>160</v>
      </c>
      <c r="D39" t="s">
        <v>131</v>
      </c>
      <c r="E39" t="s">
        <v>234</v>
      </c>
      <c r="F39" s="18" t="s">
        <v>108</v>
      </c>
      <c r="G39" s="239">
        <f>IF($B39="Residential",0,Inputs!$E$103)</f>
        <v>0</v>
      </c>
      <c r="H39" s="162">
        <f>Inputs!$E$98/12</f>
        <v>10</v>
      </c>
      <c r="I39" s="184">
        <f>INDEX(Inputs!$D$114:$D$125,MATCH(F39,Inputs!$C$114:$C$125,0))</f>
        <v>5.1479999999999998E-2</v>
      </c>
      <c r="J39" s="161">
        <f>Inputs!$E$100</f>
        <v>0.29464000000000001</v>
      </c>
      <c r="K39" s="139">
        <f>Inputs!$E$101</f>
        <v>2.8649999999999998E-2</v>
      </c>
      <c r="L39" s="791">
        <f>EES!$I$23</f>
        <v>3.0100000000000023E-3</v>
      </c>
      <c r="M39" s="190">
        <f t="shared" si="5"/>
        <v>0.32630000000000003</v>
      </c>
      <c r="N39" s="192" t="str">
        <f t="shared" si="0"/>
        <v>R1RESIDENTIAL</v>
      </c>
      <c r="O39" s="134">
        <f>SUMIFS(Sales!$E$7:$E$54,Sales!$B$7:$B$54,$F39,Sales!$C$7:$C$54,$N39)/SUMIFS(Sales!$E$7:$E$54,Sales!$C$7:$C$54,$N39)</f>
        <v>0.14415817495028674</v>
      </c>
      <c r="P39" s="120">
        <f>O39*(INDEX(Annual!$O$9:$O$22,MATCH($AC39,Annual!$AD$9:$AD$22,0)))</f>
        <v>916.84599268382362</v>
      </c>
      <c r="Q39" s="134">
        <f>INDEX(Inputs!$E$114:$E$125,MATCH(F39,Inputs!$C$114:$C$125,0))</f>
        <v>9.9163535033348085E-2</v>
      </c>
      <c r="R39" s="840">
        <f>Q39*INDEX(Annual!$U$9:$U$22,MATCH(AC39,Annual!$AD$9:$AD$22,0))</f>
        <v>917.02029930616595</v>
      </c>
      <c r="S39" s="164">
        <f t="shared" si="6"/>
        <v>299.22372366360196</v>
      </c>
      <c r="T39" s="165">
        <f>INDEX(Inputs!$F$114:$F$125,MATCH(F39,Inputs!$C$114:$C$125,0))</f>
        <v>5.5482552197401083E-3</v>
      </c>
      <c r="U39" s="264">
        <f>T39*IF(D39="HP prior to CVEO",INDEX(Annual!$P$9:$P$22,MATCH(AC39,Annual!$AD$9:$AD$22,0)),INDEX(Annual!$V$9:$V$22,MATCH(AC39,Annual!$AD$9:$AD$22,0)))</f>
        <v>44.818065897697963</v>
      </c>
      <c r="V39" s="222">
        <f>IF(E39="No",0,_xlfn.IFNA(INDEX(Inputs!$E$50:$E$53,MATCH("Events in "&amp;F39,Inputs!$C$50:$C$53,0)),0)*Inputs!$E$46*Inputs!$E$54)</f>
        <v>0</v>
      </c>
      <c r="W39" s="166">
        <f>V39*(1-Inputs!$E$48)</f>
        <v>0</v>
      </c>
      <c r="X39" s="120">
        <f t="shared" si="1"/>
        <v>961.66405858152154</v>
      </c>
      <c r="Y39" s="120">
        <f t="shared" si="2"/>
        <v>44.643759275355592</v>
      </c>
      <c r="Z39" s="20">
        <f t="shared" si="3"/>
        <v>24.567258651548531</v>
      </c>
      <c r="AA39" s="20">
        <f t="shared" si="7"/>
        <v>0</v>
      </c>
      <c r="AB39" s="21">
        <f t="shared" si="4"/>
        <v>0</v>
      </c>
      <c r="AC39" s="185" t="str">
        <f t="shared" si="8"/>
        <v>ResidentialPropaneDuctlessNo</v>
      </c>
      <c r="AD39" t="s">
        <v>27</v>
      </c>
      <c r="AG39" s="86"/>
      <c r="AI39" s="58"/>
    </row>
    <row r="40" spans="2:35" x14ac:dyDescent="0.25">
      <c r="B40" s="36" t="s">
        <v>182</v>
      </c>
      <c r="C40" t="s">
        <v>160</v>
      </c>
      <c r="D40" t="s">
        <v>131</v>
      </c>
      <c r="E40" t="s">
        <v>234</v>
      </c>
      <c r="F40" s="18" t="s">
        <v>109</v>
      </c>
      <c r="G40" s="239">
        <f>IF($B40="Residential",0,Inputs!$E$103)</f>
        <v>0</v>
      </c>
      <c r="H40" s="162">
        <f>Inputs!$E$98/12</f>
        <v>10</v>
      </c>
      <c r="I40" s="184">
        <f>INDEX(Inputs!$D$114:$D$125,MATCH(F40,Inputs!$C$114:$C$125,0))</f>
        <v>5.4880000000000005E-2</v>
      </c>
      <c r="J40" s="161">
        <f>Inputs!$E$100</f>
        <v>0.29464000000000001</v>
      </c>
      <c r="K40" s="139">
        <f>Inputs!$E$101</f>
        <v>2.8649999999999998E-2</v>
      </c>
      <c r="L40" s="791">
        <f>EES!$I$23</f>
        <v>3.0100000000000023E-3</v>
      </c>
      <c r="M40" s="190">
        <f t="shared" si="5"/>
        <v>0.32630000000000003</v>
      </c>
      <c r="N40" s="192" t="str">
        <f t="shared" si="0"/>
        <v>R1RESIDENTIAL</v>
      </c>
      <c r="O40" s="134">
        <f>SUMIFS(Sales!$E$7:$E$54,Sales!$B$7:$B$54,$F40,Sales!$C$7:$C$54,$N40)/SUMIFS(Sales!$E$7:$E$54,Sales!$C$7:$C$54,$N40)</f>
        <v>9.6628881563244493E-2</v>
      </c>
      <c r="P40" s="120">
        <f>O40*(INDEX(Annual!$O$9:$O$22,MATCH($AC40,Annual!$AD$9:$AD$22,0)))</f>
        <v>614.55968674223493</v>
      </c>
      <c r="Q40" s="134">
        <f>INDEX(Inputs!$E$114:$E$125,MATCH(F40,Inputs!$C$114:$C$125,0))</f>
        <v>9.3858976615798895E-2</v>
      </c>
      <c r="R40" s="840">
        <f>Q40*INDEX(Annual!$U$9:$U$22,MATCH(AC40,Annual!$AD$9:$AD$22,0))</f>
        <v>867.96610064218999</v>
      </c>
      <c r="S40" s="164">
        <f t="shared" si="6"/>
        <v>283.2173386395466</v>
      </c>
      <c r="T40" s="165">
        <f>INDEX(Inputs!$F$114:$F$125,MATCH(F40,Inputs!$C$114:$C$125,0))</f>
        <v>1.9272886552781428E-2</v>
      </c>
      <c r="U40" s="264">
        <f>T40*IF(D40="HP prior to CVEO",INDEX(Annual!$P$9:$P$22,MATCH(AC40,Annual!$AD$9:$AD$22,0)),INDEX(Annual!$V$9:$V$22,MATCH(AC40,Annual!$AD$9:$AD$22,0)))</f>
        <v>155.68380785516135</v>
      </c>
      <c r="V40" s="222">
        <f>IF(E40="No",0,_xlfn.IFNA(INDEX(Inputs!$E$50:$E$53,MATCH("Events in "&amp;F40,Inputs!$C$50:$C$53,0)),0)*Inputs!$E$46*Inputs!$E$54)</f>
        <v>0</v>
      </c>
      <c r="W40" s="166">
        <f>V40*(1-Inputs!$E$48)</f>
        <v>0</v>
      </c>
      <c r="X40" s="120">
        <f t="shared" ref="X40:X71" si="12">P40+U40+W40</f>
        <v>770.24349459739631</v>
      </c>
      <c r="Y40" s="120">
        <f t="shared" ref="Y40:Y71" si="13">X40-R40</f>
        <v>-97.722606044793679</v>
      </c>
      <c r="Z40" s="20">
        <f t="shared" ref="Z40:Z71" si="14">IF(Y40&lt;0,(Y40*I40)+(H40*(1-G40)),((Y40*M40)+H40)*(1-G40))</f>
        <v>4.6369833802617224</v>
      </c>
      <c r="AA40" s="20">
        <f t="shared" si="7"/>
        <v>5.3630166197382776</v>
      </c>
      <c r="AB40" s="21">
        <f t="shared" ref="AB40:AB71" si="15">IF($B40="Income Eligible",IF(Y40&lt;0,(Y40*I40)+H40,((Y40*M40)+H40)),0)</f>
        <v>0</v>
      </c>
      <c r="AC40" s="185" t="str">
        <f t="shared" si="8"/>
        <v>ResidentialPropaneDuctlessNo</v>
      </c>
      <c r="AD40" t="s">
        <v>27</v>
      </c>
      <c r="AG40" s="86"/>
      <c r="AI40" s="58"/>
    </row>
    <row r="41" spans="2:35" x14ac:dyDescent="0.25">
      <c r="B41" s="36" t="s">
        <v>182</v>
      </c>
      <c r="C41" t="s">
        <v>160</v>
      </c>
      <c r="D41" t="s">
        <v>131</v>
      </c>
      <c r="E41" t="s">
        <v>234</v>
      </c>
      <c r="F41" s="18" t="s">
        <v>110</v>
      </c>
      <c r="G41" s="239">
        <f>IF($B41="Residential",0,Inputs!$E$103)</f>
        <v>0</v>
      </c>
      <c r="H41" s="162">
        <f>Inputs!$E$98/12</f>
        <v>10</v>
      </c>
      <c r="I41" s="184">
        <f>INDEX(Inputs!$D$114:$D$125,MATCH(F41,Inputs!$C$114:$C$125,0))</f>
        <v>5.9859999999999997E-2</v>
      </c>
      <c r="J41" s="161">
        <f>Inputs!$E$100</f>
        <v>0.29464000000000001</v>
      </c>
      <c r="K41" s="139">
        <f>Inputs!$E$101</f>
        <v>2.8649999999999998E-2</v>
      </c>
      <c r="L41" s="791">
        <f>EES!$I$23</f>
        <v>3.0100000000000023E-3</v>
      </c>
      <c r="M41" s="190">
        <f t="shared" si="5"/>
        <v>0.32630000000000003</v>
      </c>
      <c r="N41" s="192" t="str">
        <f t="shared" si="0"/>
        <v>R1RESIDENTIAL</v>
      </c>
      <c r="O41" s="134">
        <f>SUMIFS(Sales!$E$7:$E$54,Sales!$B$7:$B$54,$F41,Sales!$C$7:$C$54,$N41)/SUMIFS(Sales!$E$7:$E$54,Sales!$C$7:$C$54,$N41)</f>
        <v>7.00257602088772E-2</v>
      </c>
      <c r="P41" s="120">
        <f>O41*(INDEX(Annual!$O$9:$O$22,MATCH($AC41,Annual!$AD$9:$AD$22,0)))</f>
        <v>445.36383492845897</v>
      </c>
      <c r="Q41" s="134">
        <f>INDEX(Inputs!$E$114:$E$125,MATCH(F41,Inputs!$C$114:$C$125,0))</f>
        <v>7.6465910496739911E-2</v>
      </c>
      <c r="R41" s="840">
        <f>Q41*INDEX(Annual!$U$9:$U$22,MATCH(AC41,Annual!$AD$9:$AD$22,0))</f>
        <v>707.12275542474094</v>
      </c>
      <c r="S41" s="164">
        <f t="shared" si="6"/>
        <v>230.734155095093</v>
      </c>
      <c r="T41" s="165">
        <f>INDEX(Inputs!$F$114:$F$125,MATCH(F41,Inputs!$C$114:$C$125,0))</f>
        <v>4.0589867133888159E-2</v>
      </c>
      <c r="U41" s="264">
        <f>T41*IF(D41="HP prior to CVEO",INDEX(Annual!$P$9:$P$22,MATCH(AC41,Annual!$AD$9:$AD$22,0)),INDEX(Annual!$V$9:$V$22,MATCH(AC41,Annual!$AD$9:$AD$22,0)))</f>
        <v>327.87953472526402</v>
      </c>
      <c r="V41" s="222">
        <f>IF(E41="No",0,_xlfn.IFNA(INDEX(Inputs!$E$50:$E$53,MATCH("Events in "&amp;F41,Inputs!$C$50:$C$53,0)),0)*Inputs!$E$46*Inputs!$E$54)</f>
        <v>0</v>
      </c>
      <c r="W41" s="166">
        <f>V41*(1-Inputs!$E$48)</f>
        <v>0</v>
      </c>
      <c r="X41" s="120">
        <f t="shared" si="12"/>
        <v>773.24336965372299</v>
      </c>
      <c r="Y41" s="120">
        <f t="shared" si="13"/>
        <v>66.120614228982049</v>
      </c>
      <c r="Z41" s="20">
        <f t="shared" si="14"/>
        <v>31.575156422916844</v>
      </c>
      <c r="AA41" s="20">
        <f t="shared" si="7"/>
        <v>0</v>
      </c>
      <c r="AB41" s="21">
        <f t="shared" si="15"/>
        <v>0</v>
      </c>
      <c r="AC41" s="185" t="str">
        <f t="shared" si="8"/>
        <v>ResidentialPropaneDuctlessNo</v>
      </c>
      <c r="AD41" t="s">
        <v>27</v>
      </c>
      <c r="AG41" s="86"/>
      <c r="AI41" s="58"/>
    </row>
    <row r="42" spans="2:35" x14ac:dyDescent="0.25">
      <c r="B42" s="36" t="s">
        <v>182</v>
      </c>
      <c r="C42" t="s">
        <v>160</v>
      </c>
      <c r="D42" t="s">
        <v>131</v>
      </c>
      <c r="E42" t="s">
        <v>234</v>
      </c>
      <c r="F42" s="18" t="s">
        <v>111</v>
      </c>
      <c r="G42" s="239">
        <f>IF($B42="Residential",0,Inputs!$E$103)</f>
        <v>0</v>
      </c>
      <c r="H42" s="162">
        <f>Inputs!$E$98/12</f>
        <v>10</v>
      </c>
      <c r="I42" s="184">
        <f>INDEX(Inputs!$D$114:$D$125,MATCH(F42,Inputs!$C$114:$C$125,0))</f>
        <v>0.10368000000000001</v>
      </c>
      <c r="J42" s="161">
        <f>Inputs!$E$100</f>
        <v>0.29464000000000001</v>
      </c>
      <c r="K42" s="139">
        <f>Inputs!$E$101</f>
        <v>2.8649999999999998E-2</v>
      </c>
      <c r="L42" s="791">
        <f>EES!$I$23</f>
        <v>3.0100000000000023E-3</v>
      </c>
      <c r="M42" s="190">
        <f t="shared" si="5"/>
        <v>0.32630000000000003</v>
      </c>
      <c r="N42" s="192" t="str">
        <f t="shared" si="0"/>
        <v>R1RESIDENTIAL</v>
      </c>
      <c r="O42" s="134">
        <f>SUMIFS(Sales!$E$7:$E$54,Sales!$B$7:$B$54,$F42,Sales!$C$7:$C$54,$N42)/SUMIFS(Sales!$E$7:$E$54,Sales!$C$7:$C$54,$N42)</f>
        <v>5.5795384714951879E-2</v>
      </c>
      <c r="P42" s="120">
        <f>O42*(INDEX(Annual!$O$9:$O$22,MATCH($AC42,Annual!$AD$9:$AD$22,0)))</f>
        <v>354.85864678709396</v>
      </c>
      <c r="Q42" s="134">
        <f>INDEX(Inputs!$E$114:$E$125,MATCH(F42,Inputs!$C$114:$C$125,0))</f>
        <v>5.8509626541612472E-2</v>
      </c>
      <c r="R42" s="840">
        <f>Q42*INDEX(Annual!$U$9:$U$22,MATCH(AC42,Annual!$AD$9:$AD$22,0))</f>
        <v>541.07102197836912</v>
      </c>
      <c r="S42" s="164">
        <f t="shared" si="6"/>
        <v>176.55147447154187</v>
      </c>
      <c r="T42" s="165">
        <f>INDEX(Inputs!$F$114:$F$125,MATCH(F42,Inputs!$C$114:$C$125,0))</f>
        <v>0.10643889618922471</v>
      </c>
      <c r="U42" s="264">
        <f>T42*IF(D42="HP prior to CVEO",INDEX(Annual!$P$9:$P$22,MATCH(AC42,Annual!$AD$9:$AD$22,0)),INDEX(Annual!$V$9:$V$22,MATCH(AC42,Annual!$AD$9:$AD$22,0)))</f>
        <v>859.799211563732</v>
      </c>
      <c r="V42" s="222">
        <f>IF(E42="No",0,_xlfn.IFNA(INDEX(Inputs!$E$50:$E$53,MATCH("Events in "&amp;F42,Inputs!$C$50:$C$53,0)),0)*Inputs!$E$46*Inputs!$E$54)</f>
        <v>0</v>
      </c>
      <c r="W42" s="166">
        <f>V42*(1-Inputs!$E$48)</f>
        <v>0</v>
      </c>
      <c r="X42" s="120">
        <f t="shared" si="12"/>
        <v>1214.657858350826</v>
      </c>
      <c r="Y42" s="120">
        <f t="shared" si="13"/>
        <v>673.5868363724569</v>
      </c>
      <c r="Z42" s="20">
        <f t="shared" si="14"/>
        <v>229.79138470833271</v>
      </c>
      <c r="AA42" s="20">
        <f t="shared" si="7"/>
        <v>0</v>
      </c>
      <c r="AB42" s="21">
        <f t="shared" si="15"/>
        <v>0</v>
      </c>
      <c r="AC42" s="185" t="str">
        <f t="shared" si="8"/>
        <v>ResidentialPropaneDuctlessNo</v>
      </c>
      <c r="AD42" t="s">
        <v>27</v>
      </c>
      <c r="AG42" s="86"/>
      <c r="AI42" s="58"/>
    </row>
    <row r="43" spans="2:35" x14ac:dyDescent="0.25">
      <c r="B43" s="36" t="s">
        <v>182</v>
      </c>
      <c r="C43" t="s">
        <v>160</v>
      </c>
      <c r="D43" t="s">
        <v>131</v>
      </c>
      <c r="E43" t="s">
        <v>234</v>
      </c>
      <c r="F43" s="18" t="s">
        <v>112</v>
      </c>
      <c r="G43" s="239">
        <f>IF($B43="Residential",0,Inputs!$E$103)</f>
        <v>0</v>
      </c>
      <c r="H43" s="162">
        <f>Inputs!$E$98/12</f>
        <v>10</v>
      </c>
      <c r="I43" s="184">
        <f>INDEX(Inputs!$D$114:$D$125,MATCH(F43,Inputs!$C$114:$C$125,0))</f>
        <v>7.7920000000000003E-2</v>
      </c>
      <c r="J43" s="161">
        <f>Inputs!$E$100</f>
        <v>0.29464000000000001</v>
      </c>
      <c r="K43" s="139">
        <f>Inputs!$E$101</f>
        <v>2.8649999999999998E-2</v>
      </c>
      <c r="L43" s="791">
        <f>EES!$I$23</f>
        <v>3.0100000000000023E-3</v>
      </c>
      <c r="M43" s="190">
        <f t="shared" si="5"/>
        <v>0.32630000000000003</v>
      </c>
      <c r="N43" s="192" t="str">
        <f t="shared" si="0"/>
        <v>R1RESIDENTIAL</v>
      </c>
      <c r="O43" s="134">
        <f>SUMIFS(Sales!$E$7:$E$54,Sales!$B$7:$B$54,$F43,Sales!$C$7:$C$54,$N43)/SUMIFS(Sales!$E$7:$E$54,Sales!$C$7:$C$54,$N43)</f>
        <v>8.2806921863112365E-2</v>
      </c>
      <c r="P43" s="120">
        <f>O43*(INDEX(Annual!$O$9:$O$22,MATCH($AC43,Annual!$AD$9:$AD$22,0)))</f>
        <v>526.65202304939464</v>
      </c>
      <c r="Q43" s="134">
        <f>INDEX(Inputs!$E$114:$E$125,MATCH(F43,Inputs!$C$114:$C$125,0))</f>
        <v>4.8504549439315578E-2</v>
      </c>
      <c r="R43" s="840">
        <f>Q43*INDEX(Annual!$U$9:$U$22,MATCH(AC43,Annual!$AD$9:$AD$22,0))</f>
        <v>448.54851563726186</v>
      </c>
      <c r="S43" s="164">
        <f t="shared" si="6"/>
        <v>146.36138065243856</v>
      </c>
      <c r="T43" s="165">
        <f>INDEX(Inputs!$F$114:$F$125,MATCH(F43,Inputs!$C$114:$C$125,0))</f>
        <v>0.15389107898963353</v>
      </c>
      <c r="U43" s="264">
        <f>T43*IF(D43="HP prior to CVEO",INDEX(Annual!$P$9:$P$22,MATCH(AC43,Annual!$AD$9:$AD$22,0)),INDEX(Annual!$V$9:$V$22,MATCH(AC43,Annual!$AD$9:$AD$22,0)))</f>
        <v>1243.1116172677278</v>
      </c>
      <c r="V43" s="222">
        <f>IF(E43="No",0,_xlfn.IFNA(INDEX(Inputs!$E$50:$E$53,MATCH("Events in "&amp;F43,Inputs!$C$50:$C$53,0)),0)*Inputs!$E$46*Inputs!$E$54)</f>
        <v>0</v>
      </c>
      <c r="W43" s="166">
        <f>V43*(1-Inputs!$E$48)</f>
        <v>0</v>
      </c>
      <c r="X43" s="120">
        <f t="shared" si="12"/>
        <v>1769.7636403171223</v>
      </c>
      <c r="Y43" s="120">
        <f t="shared" si="13"/>
        <v>1321.2151246798603</v>
      </c>
      <c r="Z43" s="20">
        <f t="shared" si="14"/>
        <v>441.11249518303845</v>
      </c>
      <c r="AA43" s="20">
        <f t="shared" si="7"/>
        <v>0</v>
      </c>
      <c r="AB43" s="21">
        <f t="shared" si="15"/>
        <v>0</v>
      </c>
      <c r="AC43" s="185" t="str">
        <f t="shared" si="8"/>
        <v>ResidentialPropaneDuctlessNo</v>
      </c>
      <c r="AD43" t="s">
        <v>27</v>
      </c>
      <c r="AG43" s="86"/>
      <c r="AI43" s="58"/>
    </row>
    <row r="44" spans="2:35" x14ac:dyDescent="0.25">
      <c r="B44" s="36" t="s">
        <v>182</v>
      </c>
      <c r="C44" t="s">
        <v>138</v>
      </c>
      <c r="D44" t="s">
        <v>131</v>
      </c>
      <c r="E44" t="s">
        <v>234</v>
      </c>
      <c r="F44" s="18" t="s">
        <v>101</v>
      </c>
      <c r="G44" s="239">
        <f>IF($B44="Residential",0,Inputs!$E$103)</f>
        <v>0</v>
      </c>
      <c r="H44" s="162">
        <f>Inputs!$E$98/12</f>
        <v>10</v>
      </c>
      <c r="I44" s="184">
        <f>INDEX(Inputs!$D$114:$D$125,MATCH(F44,Inputs!$C$114:$C$125,0))</f>
        <v>4.6359999999999998E-2</v>
      </c>
      <c r="J44" s="161">
        <f>Inputs!$E$100</f>
        <v>0.29464000000000001</v>
      </c>
      <c r="K44" s="139">
        <f>Inputs!$E$101</f>
        <v>2.8649999999999998E-2</v>
      </c>
      <c r="L44" s="791">
        <f>EES!$I$23</f>
        <v>3.0100000000000023E-3</v>
      </c>
      <c r="M44" s="190">
        <f t="shared" si="5"/>
        <v>0.32630000000000003</v>
      </c>
      <c r="N44" s="192" t="str">
        <f t="shared" si="0"/>
        <v>R1RESIDENTIAL</v>
      </c>
      <c r="O44" s="134">
        <f>SUMIFS(Sales!$E$7:$E$54,Sales!$B$7:$B$54,$F44,Sales!$C$7:$C$54,$N44)/SUMIFS(Sales!$E$7:$E$54,Sales!$C$7:$C$54,$N44)</f>
        <v>8.3575449932271006E-2</v>
      </c>
      <c r="P44" s="120">
        <f>O44*(INDEX(Annual!$O$9:$O$22,MATCH($AC44,Annual!$AD$9:$AD$22,0)))</f>
        <v>531.53986156924361</v>
      </c>
      <c r="Q44" s="134">
        <f>INDEX(Inputs!$E$114:$E$125,MATCH(F44,Inputs!$C$114:$C$125,0))</f>
        <v>5.9304226053352373E-2</v>
      </c>
      <c r="R44" s="840">
        <f>Q44*INDEX(Annual!$U$9:$U$22,MATCH(AC44,Annual!$AD$9:$AD$22,0))</f>
        <v>166.88209211413357</v>
      </c>
      <c r="S44" s="164">
        <f t="shared" si="6"/>
        <v>54.453626656841791</v>
      </c>
      <c r="T44" s="165">
        <f>INDEX(Inputs!$F$114:$F$125,MATCH(F44,Inputs!$C$114:$C$125,0))</f>
        <v>0.16338151554971528</v>
      </c>
      <c r="U44" s="264">
        <f>T44*IF(D44="HP prior to CVEO",INDEX(Annual!$P$9:$P$22,MATCH(AC44,Annual!$AD$9:$AD$22,0)),INDEX(Annual!$V$9:$V$22,MATCH(AC44,Annual!$AD$9:$AD$22,0)))</f>
        <v>1224.8249011625612</v>
      </c>
      <c r="V44" s="222">
        <f>IF(E44="No",0,_xlfn.IFNA(INDEX(Inputs!$E$50:$E$53,MATCH("Events in "&amp;F44,Inputs!$C$50:$C$53,0)),0)*Inputs!$E$46*Inputs!$E$54)</f>
        <v>0</v>
      </c>
      <c r="W44" s="166">
        <f>V44*(1-Inputs!$E$48)</f>
        <v>0</v>
      </c>
      <c r="X44" s="120">
        <f t="shared" si="12"/>
        <v>1756.3647627318048</v>
      </c>
      <c r="Y44" s="120">
        <f t="shared" si="13"/>
        <v>1589.4826706176714</v>
      </c>
      <c r="Z44" s="20">
        <f t="shared" si="14"/>
        <v>528.64819542254622</v>
      </c>
      <c r="AA44" s="20">
        <f t="shared" si="7"/>
        <v>0</v>
      </c>
      <c r="AB44" s="21">
        <f t="shared" si="15"/>
        <v>0</v>
      </c>
      <c r="AC44" s="185" t="str">
        <f t="shared" si="8"/>
        <v>ResidentialElectricDuctlessNo</v>
      </c>
      <c r="AD44" t="s">
        <v>27</v>
      </c>
      <c r="AG44" s="86"/>
      <c r="AI44" s="58"/>
    </row>
    <row r="45" spans="2:35" x14ac:dyDescent="0.25">
      <c r="B45" s="36" t="s">
        <v>182</v>
      </c>
      <c r="C45" t="s">
        <v>138</v>
      </c>
      <c r="D45" t="s">
        <v>131</v>
      </c>
      <c r="E45" t="s">
        <v>234</v>
      </c>
      <c r="F45" s="18" t="s">
        <v>102</v>
      </c>
      <c r="G45" s="239">
        <f>IF($B45="Residential",0,Inputs!$E$103)</f>
        <v>0</v>
      </c>
      <c r="H45" s="162">
        <f>Inputs!$E$98/12</f>
        <v>10</v>
      </c>
      <c r="I45" s="184">
        <f>INDEX(Inputs!$D$114:$D$125,MATCH(F45,Inputs!$C$114:$C$125,0))</f>
        <v>3.5580000000000001E-2</v>
      </c>
      <c r="J45" s="161">
        <f>Inputs!$E$100</f>
        <v>0.29464000000000001</v>
      </c>
      <c r="K45" s="139">
        <f>Inputs!$E$101</f>
        <v>2.8649999999999998E-2</v>
      </c>
      <c r="L45" s="791">
        <f>EES!$I$23</f>
        <v>3.0100000000000023E-3</v>
      </c>
      <c r="M45" s="190">
        <f t="shared" si="5"/>
        <v>0.32630000000000003</v>
      </c>
      <c r="N45" s="192" t="str">
        <f t="shared" si="0"/>
        <v>R1RESIDENTIAL</v>
      </c>
      <c r="O45" s="134">
        <f>SUMIFS(Sales!$E$7:$E$54,Sales!$B$7:$B$54,$F45,Sales!$C$7:$C$54,$N45)/SUMIFS(Sales!$E$7:$E$54,Sales!$C$7:$C$54,$N45)</f>
        <v>7.9283880430769713E-2</v>
      </c>
      <c r="P45" s="120">
        <f>O45*(INDEX(Annual!$O$9:$O$22,MATCH($AC45,Annual!$AD$9:$AD$22,0)))</f>
        <v>504.2454795396954</v>
      </c>
      <c r="Q45" s="134">
        <f>INDEX(Inputs!$E$114:$E$125,MATCH(F45,Inputs!$C$114:$C$125,0))</f>
        <v>7.056160122921061E-2</v>
      </c>
      <c r="R45" s="840">
        <f>Q45*INDEX(Annual!$U$9:$U$22,MATCH(AC45,Annual!$AD$9:$AD$22,0))</f>
        <v>198.56034585899866</v>
      </c>
      <c r="S45" s="164">
        <f t="shared" si="6"/>
        <v>64.790240853791275</v>
      </c>
      <c r="T45" s="165">
        <f>INDEX(Inputs!$F$114:$F$125,MATCH(F45,Inputs!$C$114:$C$125,0))</f>
        <v>0.2087896043217988</v>
      </c>
      <c r="U45" s="264">
        <f>T45*IF(D45="HP prior to CVEO",INDEX(Annual!$P$9:$P$22,MATCH(AC45,Annual!$AD$9:$AD$22,0)),INDEX(Annual!$V$9:$V$22,MATCH(AC45,Annual!$AD$9:$AD$22,0)))</f>
        <v>1565.236468867259</v>
      </c>
      <c r="V45" s="222">
        <f>IF(E45="No",0,_xlfn.IFNA(INDEX(Inputs!$E$50:$E$53,MATCH("Events in "&amp;F45,Inputs!$C$50:$C$53,0)),0)*Inputs!$E$46*Inputs!$E$54)</f>
        <v>0</v>
      </c>
      <c r="W45" s="166">
        <f>V45*(1-Inputs!$E$48)</f>
        <v>0</v>
      </c>
      <c r="X45" s="120">
        <f t="shared" si="12"/>
        <v>2069.4819484069544</v>
      </c>
      <c r="Y45" s="120">
        <f t="shared" si="13"/>
        <v>1870.9216025479557</v>
      </c>
      <c r="Z45" s="20">
        <f t="shared" si="14"/>
        <v>620.48171891139805</v>
      </c>
      <c r="AA45" s="20">
        <f t="shared" si="7"/>
        <v>0</v>
      </c>
      <c r="AB45" s="21">
        <f t="shared" si="15"/>
        <v>0</v>
      </c>
      <c r="AC45" s="185" t="str">
        <f t="shared" si="8"/>
        <v>ResidentialElectricDuctlessNo</v>
      </c>
      <c r="AD45" t="s">
        <v>27</v>
      </c>
      <c r="AG45" s="86"/>
      <c r="AI45" s="58"/>
    </row>
    <row r="46" spans="2:35" x14ac:dyDescent="0.25">
      <c r="B46" s="36" t="s">
        <v>182</v>
      </c>
      <c r="C46" t="s">
        <v>138</v>
      </c>
      <c r="D46" t="s">
        <v>131</v>
      </c>
      <c r="E46" t="s">
        <v>234</v>
      </c>
      <c r="F46" s="18" t="s">
        <v>103</v>
      </c>
      <c r="G46" s="239">
        <f>IF($B46="Residential",0,Inputs!$E$103)</f>
        <v>0</v>
      </c>
      <c r="H46" s="162">
        <f>Inputs!$E$98/12</f>
        <v>10</v>
      </c>
      <c r="I46" s="184">
        <f>INDEX(Inputs!$D$114:$D$125,MATCH(F46,Inputs!$C$114:$C$125,0))</f>
        <v>3.8429999999999999E-2</v>
      </c>
      <c r="J46" s="161">
        <f>Inputs!$E$100</f>
        <v>0.29464000000000001</v>
      </c>
      <c r="K46" s="139">
        <f>Inputs!$E$101</f>
        <v>2.8649999999999998E-2</v>
      </c>
      <c r="L46" s="791">
        <f>EES!$I$23</f>
        <v>3.0100000000000023E-3</v>
      </c>
      <c r="M46" s="190">
        <f t="shared" si="5"/>
        <v>0.32630000000000003</v>
      </c>
      <c r="N46" s="192" t="str">
        <f t="shared" si="0"/>
        <v>R1RESIDENTIAL</v>
      </c>
      <c r="O46" s="134">
        <f>SUMIFS(Sales!$E$7:$E$54,Sales!$B$7:$B$54,$F46,Sales!$C$7:$C$54,$N46)/SUMIFS(Sales!$E$7:$E$54,Sales!$C$7:$C$54,$N46)</f>
        <v>7.0531220518429347E-2</v>
      </c>
      <c r="P46" s="120">
        <f>O46*(INDEX(Annual!$O$9:$O$22,MATCH($AC46,Annual!$AD$9:$AD$22,0)))</f>
        <v>448.57856249721067</v>
      </c>
      <c r="Q46" s="134">
        <f>INDEX(Inputs!$E$114:$E$125,MATCH(F46,Inputs!$C$114:$C$125,0))</f>
        <v>9.1691796536674613E-2</v>
      </c>
      <c r="R46" s="840">
        <f>Q46*INDEX(Annual!$U$9:$U$22,MATCH(AC46,Annual!$AD$9:$AD$22,0))</f>
        <v>258.02071545420239</v>
      </c>
      <c r="S46" s="164">
        <f t="shared" si="6"/>
        <v>84.19215945270625</v>
      </c>
      <c r="T46" s="165">
        <f>INDEX(Inputs!$F$114:$F$125,MATCH(F46,Inputs!$C$114:$C$125,0))</f>
        <v>0.14002044094028326</v>
      </c>
      <c r="U46" s="264">
        <f>T46*IF(D46="HP prior to CVEO",INDEX(Annual!$P$9:$P$22,MATCH(AC46,Annual!$AD$9:$AD$22,0)),INDEX(Annual!$V$9:$V$22,MATCH(AC46,Annual!$AD$9:$AD$22,0)))</f>
        <v>1049.6935480025884</v>
      </c>
      <c r="V46" s="222">
        <f>IF(E46="No",0,_xlfn.IFNA(INDEX(Inputs!$E$50:$E$53,MATCH("Events in "&amp;F46,Inputs!$C$50:$C$53,0)),0)*Inputs!$E$46*Inputs!$E$54)</f>
        <v>0</v>
      </c>
      <c r="W46" s="166">
        <f>V46*(1-Inputs!$E$48)</f>
        <v>0</v>
      </c>
      <c r="X46" s="120">
        <f t="shared" si="12"/>
        <v>1498.2721104997991</v>
      </c>
      <c r="Y46" s="120">
        <f t="shared" si="13"/>
        <v>1240.2513950455966</v>
      </c>
      <c r="Z46" s="20">
        <f t="shared" si="14"/>
        <v>414.69403020337819</v>
      </c>
      <c r="AA46" s="20">
        <f t="shared" si="7"/>
        <v>0</v>
      </c>
      <c r="AB46" s="21">
        <f t="shared" si="15"/>
        <v>0</v>
      </c>
      <c r="AC46" s="185" t="str">
        <f t="shared" si="8"/>
        <v>ResidentialElectricDuctlessNo</v>
      </c>
      <c r="AD46" t="s">
        <v>27</v>
      </c>
      <c r="AG46" s="86"/>
      <c r="AI46" s="58"/>
    </row>
    <row r="47" spans="2:35" x14ac:dyDescent="0.25">
      <c r="B47" s="36" t="s">
        <v>182</v>
      </c>
      <c r="C47" t="s">
        <v>138</v>
      </c>
      <c r="D47" t="s">
        <v>131</v>
      </c>
      <c r="E47" t="s">
        <v>234</v>
      </c>
      <c r="F47" s="18" t="s">
        <v>104</v>
      </c>
      <c r="G47" s="239">
        <f>IF($B47="Residential",0,Inputs!$E$103)</f>
        <v>0</v>
      </c>
      <c r="H47" s="162">
        <f>Inputs!$E$98/12</f>
        <v>10</v>
      </c>
      <c r="I47" s="184">
        <f>INDEX(Inputs!$D$114:$D$125,MATCH(F47,Inputs!$C$114:$C$125,0))</f>
        <v>3.9399999999999998E-2</v>
      </c>
      <c r="J47" s="161">
        <f>Inputs!$E$100</f>
        <v>0.29464000000000001</v>
      </c>
      <c r="K47" s="139">
        <f>Inputs!$E$101</f>
        <v>2.8649999999999998E-2</v>
      </c>
      <c r="L47" s="791">
        <f>EES!$I$23</f>
        <v>3.0100000000000023E-3</v>
      </c>
      <c r="M47" s="190">
        <f t="shared" si="5"/>
        <v>0.32630000000000003</v>
      </c>
      <c r="N47" s="192" t="str">
        <f t="shared" si="0"/>
        <v>R1RESIDENTIAL</v>
      </c>
      <c r="O47" s="134">
        <f>SUMIFS(Sales!$E$7:$E$54,Sales!$B$7:$B$54,$F47,Sales!$C$7:$C$54,$N47)/SUMIFS(Sales!$E$7:$E$54,Sales!$C$7:$C$54,$N47)</f>
        <v>6.4474909849621148E-2</v>
      </c>
      <c r="P47" s="120">
        <f>O47*(INDEX(Annual!$O$9:$O$22,MATCH($AC47,Annual!$AD$9:$AD$22,0)))</f>
        <v>410.06042664359052</v>
      </c>
      <c r="Q47" s="134">
        <f>INDEX(Inputs!$E$114:$E$125,MATCH(F47,Inputs!$C$114:$C$125,0))</f>
        <v>9.5902218316044743E-2</v>
      </c>
      <c r="R47" s="840">
        <f>Q47*INDEX(Annual!$U$9:$U$22,MATCH(AC47,Annual!$AD$9:$AD$22,0))</f>
        <v>269.86884234134993</v>
      </c>
      <c r="S47" s="164">
        <f t="shared" si="6"/>
        <v>88.058203255982491</v>
      </c>
      <c r="T47" s="165">
        <f>INDEX(Inputs!$F$114:$F$125,MATCH(F47,Inputs!$C$114:$C$125,0))</f>
        <v>8.1909767849321066E-2</v>
      </c>
      <c r="U47" s="264">
        <f>T47*IF(D47="HP prior to CVEO",INDEX(Annual!$P$9:$P$22,MATCH(AC47,Annual!$AD$9:$AD$22,0)),INDEX(Annual!$V$9:$V$22,MATCH(AC47,Annual!$AD$9:$AD$22,0)))</f>
        <v>614.05430701715545</v>
      </c>
      <c r="V47" s="222">
        <f>IF(E47="No",0,_xlfn.IFNA(INDEX(Inputs!$E$50:$E$53,MATCH("Events in "&amp;F47,Inputs!$C$50:$C$53,0)),0)*Inputs!$E$46*Inputs!$E$54)</f>
        <v>0</v>
      </c>
      <c r="W47" s="166">
        <f>V47*(1-Inputs!$E$48)</f>
        <v>0</v>
      </c>
      <c r="X47" s="120">
        <f t="shared" si="12"/>
        <v>1024.114733660746</v>
      </c>
      <c r="Y47" s="120">
        <f t="shared" si="13"/>
        <v>754.24589131939604</v>
      </c>
      <c r="Z47" s="20">
        <f t="shared" si="14"/>
        <v>256.11043433751894</v>
      </c>
      <c r="AA47" s="20">
        <f t="shared" si="7"/>
        <v>0</v>
      </c>
      <c r="AB47" s="21">
        <f t="shared" si="15"/>
        <v>0</v>
      </c>
      <c r="AC47" s="185" t="str">
        <f t="shared" si="8"/>
        <v>ResidentialElectricDuctlessNo</v>
      </c>
      <c r="AD47" t="s">
        <v>27</v>
      </c>
      <c r="AG47" s="86"/>
      <c r="AI47" s="58"/>
    </row>
    <row r="48" spans="2:35" x14ac:dyDescent="0.25">
      <c r="B48" s="36" t="s">
        <v>182</v>
      </c>
      <c r="C48" t="s">
        <v>138</v>
      </c>
      <c r="D48" t="s">
        <v>131</v>
      </c>
      <c r="E48" t="s">
        <v>234</v>
      </c>
      <c r="F48" s="18" t="s">
        <v>105</v>
      </c>
      <c r="G48" s="239">
        <f>IF($B48="Residential",0,Inputs!$E$103)</f>
        <v>0</v>
      </c>
      <c r="H48" s="162">
        <f>Inputs!$E$98/12</f>
        <v>10</v>
      </c>
      <c r="I48" s="184">
        <f>INDEX(Inputs!$D$114:$D$125,MATCH(F48,Inputs!$C$114:$C$125,0))</f>
        <v>4.827E-2</v>
      </c>
      <c r="J48" s="161">
        <f>Inputs!$E$100</f>
        <v>0.29464000000000001</v>
      </c>
      <c r="K48" s="139">
        <f>Inputs!$E$101</f>
        <v>2.8649999999999998E-2</v>
      </c>
      <c r="L48" s="791">
        <f>EES!$I$23</f>
        <v>3.0100000000000023E-3</v>
      </c>
      <c r="M48" s="190">
        <f t="shared" si="5"/>
        <v>0.32630000000000003</v>
      </c>
      <c r="N48" s="192" t="str">
        <f t="shared" si="0"/>
        <v>R1RESIDENTIAL</v>
      </c>
      <c r="O48" s="134">
        <f>SUMIFS(Sales!$E$7:$E$54,Sales!$B$7:$B$54,$F48,Sales!$C$7:$C$54,$N48)/SUMIFS(Sales!$E$7:$E$54,Sales!$C$7:$C$54,$N48)</f>
        <v>6.2342368040081801E-2</v>
      </c>
      <c r="P48" s="120">
        <f>O48*(INDEX(Annual!$O$9:$O$22,MATCH($AC48,Annual!$AD$9:$AD$22,0)))</f>
        <v>396.49746073492025</v>
      </c>
      <c r="Q48" s="134">
        <f>INDEX(Inputs!$E$114:$E$125,MATCH(F48,Inputs!$C$114:$C$125,0))</f>
        <v>0.10405019139401983</v>
      </c>
      <c r="R48" s="840">
        <f>Q48*INDEX(Annual!$U$9:$U$22,MATCH(AC48,Annual!$AD$9:$AD$22,0))</f>
        <v>292.7972385827718</v>
      </c>
      <c r="S48" s="164">
        <f t="shared" si="6"/>
        <v>95.539738949558441</v>
      </c>
      <c r="T48" s="165">
        <f>INDEX(Inputs!$F$114:$F$125,MATCH(F48,Inputs!$C$114:$C$125,0))</f>
        <v>5.577456563001898E-2</v>
      </c>
      <c r="U48" s="264">
        <f>T48*IF(D48="HP prior to CVEO",INDEX(Annual!$P$9:$P$22,MATCH(AC48,Annual!$AD$9:$AD$22,0)),INDEX(Annual!$V$9:$V$22,MATCH(AC48,Annual!$AD$9:$AD$22,0)))</f>
        <v>418.12610566943562</v>
      </c>
      <c r="V48" s="222">
        <f>IF(E48="No",0,_xlfn.IFNA(INDEX(Inputs!$E$50:$E$53,MATCH("Events in "&amp;F48,Inputs!$C$50:$C$53,0)),0)*Inputs!$E$46*Inputs!$E$54)</f>
        <v>0</v>
      </c>
      <c r="W48" s="166">
        <f>V48*(1-Inputs!$E$48)</f>
        <v>0</v>
      </c>
      <c r="X48" s="120">
        <f t="shared" si="12"/>
        <v>814.62356640435587</v>
      </c>
      <c r="Y48" s="120">
        <f t="shared" si="13"/>
        <v>521.82632782158407</v>
      </c>
      <c r="Z48" s="20">
        <f t="shared" si="14"/>
        <v>180.2719307681829</v>
      </c>
      <c r="AA48" s="20">
        <f t="shared" si="7"/>
        <v>0</v>
      </c>
      <c r="AB48" s="21">
        <f t="shared" si="15"/>
        <v>0</v>
      </c>
      <c r="AC48" s="185" t="str">
        <f t="shared" si="8"/>
        <v>ResidentialElectricDuctlessNo</v>
      </c>
      <c r="AD48" t="s">
        <v>27</v>
      </c>
      <c r="AG48" s="86"/>
      <c r="AI48" s="58"/>
    </row>
    <row r="49" spans="2:35" x14ac:dyDescent="0.25">
      <c r="B49" s="36" t="s">
        <v>182</v>
      </c>
      <c r="C49" t="s">
        <v>138</v>
      </c>
      <c r="D49" t="s">
        <v>131</v>
      </c>
      <c r="E49" t="s">
        <v>234</v>
      </c>
      <c r="F49" s="18" t="s">
        <v>106</v>
      </c>
      <c r="G49" s="239">
        <f>IF($B49="Residential",0,Inputs!$E$103)</f>
        <v>0</v>
      </c>
      <c r="H49" s="162">
        <f>Inputs!$E$98/12</f>
        <v>10</v>
      </c>
      <c r="I49" s="184">
        <f>INDEX(Inputs!$D$114:$D$125,MATCH(F49,Inputs!$C$114:$C$125,0))</f>
        <v>5.8689999999999999E-2</v>
      </c>
      <c r="J49" s="161">
        <f>Inputs!$E$100</f>
        <v>0.29464000000000001</v>
      </c>
      <c r="K49" s="139">
        <f>Inputs!$E$101</f>
        <v>2.8649999999999998E-2</v>
      </c>
      <c r="L49" s="791">
        <f>EES!$I$23</f>
        <v>3.0100000000000023E-3</v>
      </c>
      <c r="M49" s="190">
        <f t="shared" si="5"/>
        <v>0.32630000000000003</v>
      </c>
      <c r="N49" s="192" t="str">
        <f t="shared" si="0"/>
        <v>R1RESIDENTIAL</v>
      </c>
      <c r="O49" s="134">
        <f>SUMIFS(Sales!$E$7:$E$54,Sales!$B$7:$B$54,$F49,Sales!$C$7:$C$54,$N49)/SUMIFS(Sales!$E$7:$E$54,Sales!$C$7:$C$54,$N49)</f>
        <v>6.9121730629464501E-2</v>
      </c>
      <c r="P49" s="120">
        <f>O49*(INDEX(Annual!$O$9:$O$22,MATCH($AC49,Annual!$AD$9:$AD$22,0)))</f>
        <v>439.61420680339421</v>
      </c>
      <c r="Q49" s="134">
        <f>INDEX(Inputs!$E$114:$E$125,MATCH(F49,Inputs!$C$114:$C$125,0))</f>
        <v>9.7397110361162206E-2</v>
      </c>
      <c r="R49" s="840">
        <f>Q49*INDEX(Annual!$U$9:$U$22,MATCH(AC49,Annual!$AD$9:$AD$22,0))</f>
        <v>274.07546855631045</v>
      </c>
      <c r="S49" s="164">
        <f t="shared" si="6"/>
        <v>89.430825389924109</v>
      </c>
      <c r="T49" s="165">
        <f>INDEX(Inputs!$F$114:$F$125,MATCH(F49,Inputs!$C$114:$C$125,0))</f>
        <v>2.044094028325303E-2</v>
      </c>
      <c r="U49" s="264">
        <f>T49*IF(D49="HP prior to CVEO",INDEX(Annual!$P$9:$P$22,MATCH(AC49,Annual!$AD$9:$AD$22,0)),INDEX(Annual!$V$9:$V$22,MATCH(AC49,Annual!$AD$9:$AD$22,0)))</f>
        <v>153.2399340149764</v>
      </c>
      <c r="V49" s="222">
        <f>IF(E49="No",0,_xlfn.IFNA(INDEX(Inputs!$E$50:$E$53,MATCH("Events in "&amp;F49,Inputs!$C$50:$C$53,0)),0)*Inputs!$E$46*Inputs!$E$54)</f>
        <v>0</v>
      </c>
      <c r="W49" s="166">
        <f>V49*(1-Inputs!$E$48)</f>
        <v>0</v>
      </c>
      <c r="X49" s="120">
        <f t="shared" si="12"/>
        <v>592.85414081837064</v>
      </c>
      <c r="Y49" s="120">
        <f t="shared" si="13"/>
        <v>318.77867226206018</v>
      </c>
      <c r="Z49" s="20">
        <f t="shared" si="14"/>
        <v>114.01748075911024</v>
      </c>
      <c r="AA49" s="20">
        <f t="shared" si="7"/>
        <v>0</v>
      </c>
      <c r="AB49" s="21">
        <f t="shared" si="15"/>
        <v>0</v>
      </c>
      <c r="AC49" s="185" t="str">
        <f t="shared" si="8"/>
        <v>ResidentialElectricDuctlessNo</v>
      </c>
      <c r="AD49" t="s">
        <v>27</v>
      </c>
      <c r="AG49" s="86"/>
      <c r="AI49" s="58"/>
    </row>
    <row r="50" spans="2:35" x14ac:dyDescent="0.25">
      <c r="B50" s="36" t="s">
        <v>182</v>
      </c>
      <c r="C50" t="s">
        <v>138</v>
      </c>
      <c r="D50" t="s">
        <v>131</v>
      </c>
      <c r="E50" t="s">
        <v>234</v>
      </c>
      <c r="F50" s="18" t="s">
        <v>107</v>
      </c>
      <c r="G50" s="239">
        <f>IF($B50="Residential",0,Inputs!$E$103)</f>
        <v>0</v>
      </c>
      <c r="H50" s="162">
        <f>Inputs!$E$98/12</f>
        <v>10</v>
      </c>
      <c r="I50" s="184">
        <f>INDEX(Inputs!$D$114:$D$125,MATCH(F50,Inputs!$C$114:$C$125,0))</f>
        <v>5.5409999999999994E-2</v>
      </c>
      <c r="J50" s="161">
        <f>Inputs!$E$100</f>
        <v>0.29464000000000001</v>
      </c>
      <c r="K50" s="139">
        <f>Inputs!$E$101</f>
        <v>2.8649999999999998E-2</v>
      </c>
      <c r="L50" s="791">
        <f>EES!$I$23</f>
        <v>3.0100000000000023E-3</v>
      </c>
      <c r="M50" s="190">
        <f t="shared" si="5"/>
        <v>0.32630000000000003</v>
      </c>
      <c r="N50" s="192" t="str">
        <f t="shared" si="0"/>
        <v>R1RESIDENTIAL</v>
      </c>
      <c r="O50" s="134">
        <f>SUMIFS(Sales!$E$7:$E$54,Sales!$B$7:$B$54,$F50,Sales!$C$7:$C$54,$N50)/SUMIFS(Sales!$E$7:$E$54,Sales!$C$7:$C$54,$N50)</f>
        <v>0.12125531729888978</v>
      </c>
      <c r="P50" s="120">
        <f>O50*(INDEX(Annual!$O$9:$O$22,MATCH($AC50,Annual!$AD$9:$AD$22,0)))</f>
        <v>771.18381802093893</v>
      </c>
      <c r="Q50" s="134">
        <f>INDEX(Inputs!$E$114:$E$125,MATCH(F50,Inputs!$C$114:$C$125,0))</f>
        <v>0.10459025798272056</v>
      </c>
      <c r="R50" s="840">
        <f>Q50*INDEX(Annual!$U$9:$U$22,MATCH(AC50,Annual!$AD$9:$AD$22,0))</f>
        <v>294.31698596337566</v>
      </c>
      <c r="S50" s="164">
        <f t="shared" si="6"/>
        <v>96.035632519849486</v>
      </c>
      <c r="T50" s="165">
        <f>INDEX(Inputs!$F$114:$F$125,MATCH(F50,Inputs!$C$114:$C$125,0))</f>
        <v>3.9421813403416554E-3</v>
      </c>
      <c r="U50" s="264">
        <f>T50*IF(D50="HP prior to CVEO",INDEX(Annual!$P$9:$P$22,MATCH(AC50,Annual!$AD$9:$AD$22,0)),INDEX(Annual!$V$9:$V$22,MATCH(AC50,Annual!$AD$9:$AD$22,0)))</f>
        <v>29.553415845745445</v>
      </c>
      <c r="V50" s="222">
        <f>IF(E50="No",0,_xlfn.IFNA(INDEX(Inputs!$E$50:$E$53,MATCH("Events in "&amp;F50,Inputs!$C$50:$C$53,0)),0)*Inputs!$E$46*Inputs!$E$54)</f>
        <v>0</v>
      </c>
      <c r="W50" s="166">
        <f>V50*(1-Inputs!$E$48)</f>
        <v>0</v>
      </c>
      <c r="X50" s="120">
        <f t="shared" si="12"/>
        <v>800.73723386668439</v>
      </c>
      <c r="Y50" s="120">
        <f t="shared" si="13"/>
        <v>506.42024790330873</v>
      </c>
      <c r="Z50" s="20">
        <f t="shared" si="14"/>
        <v>175.24492689084965</v>
      </c>
      <c r="AA50" s="20">
        <f t="shared" si="7"/>
        <v>0</v>
      </c>
      <c r="AB50" s="21">
        <f t="shared" si="15"/>
        <v>0</v>
      </c>
      <c r="AC50" s="185" t="str">
        <f t="shared" si="8"/>
        <v>ResidentialElectricDuctlessNo</v>
      </c>
      <c r="AD50" t="s">
        <v>27</v>
      </c>
      <c r="AG50" s="86"/>
      <c r="AI50" s="58"/>
    </row>
    <row r="51" spans="2:35" x14ac:dyDescent="0.25">
      <c r="B51" s="36" t="s">
        <v>182</v>
      </c>
      <c r="C51" t="s">
        <v>138</v>
      </c>
      <c r="D51" t="s">
        <v>131</v>
      </c>
      <c r="E51" t="s">
        <v>234</v>
      </c>
      <c r="F51" s="18" t="s">
        <v>108</v>
      </c>
      <c r="G51" s="239">
        <f>IF($B51="Residential",0,Inputs!$E$103)</f>
        <v>0</v>
      </c>
      <c r="H51" s="162">
        <f>Inputs!$E$98/12</f>
        <v>10</v>
      </c>
      <c r="I51" s="184">
        <f>INDEX(Inputs!$D$114:$D$125,MATCH(F51,Inputs!$C$114:$C$125,0))</f>
        <v>5.1479999999999998E-2</v>
      </c>
      <c r="J51" s="161">
        <f>Inputs!$E$100</f>
        <v>0.29464000000000001</v>
      </c>
      <c r="K51" s="139">
        <f>Inputs!$E$101</f>
        <v>2.8649999999999998E-2</v>
      </c>
      <c r="L51" s="791">
        <f>EES!$I$23</f>
        <v>3.0100000000000023E-3</v>
      </c>
      <c r="M51" s="190">
        <f t="shared" si="5"/>
        <v>0.32630000000000003</v>
      </c>
      <c r="N51" s="192" t="str">
        <f t="shared" si="0"/>
        <v>R1RESIDENTIAL</v>
      </c>
      <c r="O51" s="134">
        <f>SUMIFS(Sales!$E$7:$E$54,Sales!$B$7:$B$54,$F51,Sales!$C$7:$C$54,$N51)/SUMIFS(Sales!$E$7:$E$54,Sales!$C$7:$C$54,$N51)</f>
        <v>0.14415817495028674</v>
      </c>
      <c r="P51" s="120">
        <f>O51*(INDEX(Annual!$O$9:$O$22,MATCH($AC51,Annual!$AD$9:$AD$22,0)))</f>
        <v>916.84599268382362</v>
      </c>
      <c r="Q51" s="134">
        <f>INDEX(Inputs!$E$114:$E$125,MATCH(F51,Inputs!$C$114:$C$125,0))</f>
        <v>9.9163535033348085E-2</v>
      </c>
      <c r="R51" s="840">
        <f>Q51*INDEX(Annual!$U$9:$U$22,MATCH(AC51,Annual!$AD$9:$AD$22,0))</f>
        <v>279.04618758384152</v>
      </c>
      <c r="S51" s="164">
        <f t="shared" si="6"/>
        <v>91.052771008607493</v>
      </c>
      <c r="T51" s="165">
        <f>INDEX(Inputs!$F$114:$F$125,MATCH(F51,Inputs!$C$114:$C$125,0))</f>
        <v>5.5482552197401083E-3</v>
      </c>
      <c r="U51" s="264">
        <f>T51*IF(D51="HP prior to CVEO",INDEX(Annual!$P$9:$P$22,MATCH(AC51,Annual!$AD$9:$AD$22,0)),INDEX(Annual!$V$9:$V$22,MATCH(AC51,Annual!$AD$9:$AD$22,0)))</f>
        <v>41.593696375493593</v>
      </c>
      <c r="V51" s="222">
        <f>IF(E51="No",0,_xlfn.IFNA(INDEX(Inputs!$E$50:$E$53,MATCH("Events in "&amp;F51,Inputs!$C$50:$C$53,0)),0)*Inputs!$E$46*Inputs!$E$54)</f>
        <v>0</v>
      </c>
      <c r="W51" s="166">
        <f>V51*(1-Inputs!$E$48)</f>
        <v>0</v>
      </c>
      <c r="X51" s="120">
        <f t="shared" si="12"/>
        <v>958.43968905931717</v>
      </c>
      <c r="Y51" s="120">
        <f t="shared" si="13"/>
        <v>679.39350147547566</v>
      </c>
      <c r="Z51" s="20">
        <f t="shared" si="14"/>
        <v>231.68609953144772</v>
      </c>
      <c r="AA51" s="20">
        <f t="shared" si="7"/>
        <v>0</v>
      </c>
      <c r="AB51" s="21">
        <f t="shared" si="15"/>
        <v>0</v>
      </c>
      <c r="AC51" s="185" t="str">
        <f t="shared" si="8"/>
        <v>ResidentialElectricDuctlessNo</v>
      </c>
      <c r="AD51" t="s">
        <v>27</v>
      </c>
      <c r="AG51" s="86"/>
      <c r="AI51" s="58"/>
    </row>
    <row r="52" spans="2:35" x14ac:dyDescent="0.25">
      <c r="B52" s="36" t="s">
        <v>182</v>
      </c>
      <c r="C52" t="s">
        <v>138</v>
      </c>
      <c r="D52" t="s">
        <v>131</v>
      </c>
      <c r="E52" t="s">
        <v>234</v>
      </c>
      <c r="F52" s="18" t="s">
        <v>109</v>
      </c>
      <c r="G52" s="239">
        <f>IF($B52="Residential",0,Inputs!$E$103)</f>
        <v>0</v>
      </c>
      <c r="H52" s="162">
        <f>Inputs!$E$98/12</f>
        <v>10</v>
      </c>
      <c r="I52" s="184">
        <f>INDEX(Inputs!$D$114:$D$125,MATCH(F52,Inputs!$C$114:$C$125,0))</f>
        <v>5.4880000000000005E-2</v>
      </c>
      <c r="J52" s="161">
        <f>Inputs!$E$100</f>
        <v>0.29464000000000001</v>
      </c>
      <c r="K52" s="139">
        <f>Inputs!$E$101</f>
        <v>2.8649999999999998E-2</v>
      </c>
      <c r="L52" s="791">
        <f>EES!$I$23</f>
        <v>3.0100000000000023E-3</v>
      </c>
      <c r="M52" s="190">
        <f t="shared" si="5"/>
        <v>0.32630000000000003</v>
      </c>
      <c r="N52" s="192" t="str">
        <f t="shared" si="0"/>
        <v>R1RESIDENTIAL</v>
      </c>
      <c r="O52" s="134">
        <f>SUMIFS(Sales!$E$7:$E$54,Sales!$B$7:$B$54,$F52,Sales!$C$7:$C$54,$N52)/SUMIFS(Sales!$E$7:$E$54,Sales!$C$7:$C$54,$N52)</f>
        <v>9.6628881563244493E-2</v>
      </c>
      <c r="P52" s="120">
        <f>O52*(INDEX(Annual!$O$9:$O$22,MATCH($AC52,Annual!$AD$9:$AD$22,0)))</f>
        <v>614.55968674223493</v>
      </c>
      <c r="Q52" s="134">
        <f>INDEX(Inputs!$E$114:$E$125,MATCH(F52,Inputs!$C$114:$C$125,0))</f>
        <v>9.3858976615798895E-2</v>
      </c>
      <c r="R52" s="840">
        <f>Q52*INDEX(Annual!$U$9:$U$22,MATCH(AC52,Annual!$AD$9:$AD$22,0))</f>
        <v>264.1191601968581</v>
      </c>
      <c r="S52" s="164">
        <f t="shared" ref="S52:S79" si="16">R52*M52*(1-$G52)</f>
        <v>86.182081972234812</v>
      </c>
      <c r="T52" s="165">
        <f>INDEX(Inputs!$F$114:$F$125,MATCH(F52,Inputs!$C$114:$C$125,0))</f>
        <v>1.9272886552781428E-2</v>
      </c>
      <c r="U52" s="264">
        <f>T52*IF(D52="HP prior to CVEO",INDEX(Annual!$P$9:$P$22,MATCH(AC52,Annual!$AD$9:$AD$22,0)),INDEX(Annual!$V$9:$V$22,MATCH(AC52,Annual!$AD$9:$AD$22,0)))</f>
        <v>144.48336635697774</v>
      </c>
      <c r="V52" s="222">
        <f>IF(E52="No",0,_xlfn.IFNA(INDEX(Inputs!$E$50:$E$53,MATCH("Events in "&amp;F52,Inputs!$C$50:$C$53,0)),0)*Inputs!$E$46*Inputs!$E$54)</f>
        <v>0</v>
      </c>
      <c r="W52" s="166">
        <f>V52*(1-Inputs!$E$48)</f>
        <v>0</v>
      </c>
      <c r="X52" s="120">
        <f t="shared" si="12"/>
        <v>759.04305309921267</v>
      </c>
      <c r="Y52" s="120">
        <f t="shared" si="13"/>
        <v>494.92389290235457</v>
      </c>
      <c r="Z52" s="20">
        <f t="shared" si="14"/>
        <v>171.49366625403832</v>
      </c>
      <c r="AA52" s="20">
        <f t="shared" si="7"/>
        <v>0</v>
      </c>
      <c r="AB52" s="21">
        <f t="shared" si="15"/>
        <v>0</v>
      </c>
      <c r="AC52" s="185" t="str">
        <f t="shared" si="8"/>
        <v>ResidentialElectricDuctlessNo</v>
      </c>
      <c r="AD52" t="s">
        <v>27</v>
      </c>
      <c r="AG52" s="86"/>
      <c r="AI52" s="58"/>
    </row>
    <row r="53" spans="2:35" x14ac:dyDescent="0.25">
      <c r="B53" s="36" t="s">
        <v>182</v>
      </c>
      <c r="C53" t="s">
        <v>138</v>
      </c>
      <c r="D53" t="s">
        <v>131</v>
      </c>
      <c r="E53" t="s">
        <v>234</v>
      </c>
      <c r="F53" s="18" t="s">
        <v>110</v>
      </c>
      <c r="G53" s="239">
        <f>IF($B53="Residential",0,Inputs!$E$103)</f>
        <v>0</v>
      </c>
      <c r="H53" s="162">
        <f>Inputs!$E$98/12</f>
        <v>10</v>
      </c>
      <c r="I53" s="184">
        <f>INDEX(Inputs!$D$114:$D$125,MATCH(F53,Inputs!$C$114:$C$125,0))</f>
        <v>5.9859999999999997E-2</v>
      </c>
      <c r="J53" s="161">
        <f>Inputs!$E$100</f>
        <v>0.29464000000000001</v>
      </c>
      <c r="K53" s="139">
        <f>Inputs!$E$101</f>
        <v>2.8649999999999998E-2</v>
      </c>
      <c r="L53" s="791">
        <f>EES!$I$23</f>
        <v>3.0100000000000023E-3</v>
      </c>
      <c r="M53" s="190">
        <f t="shared" si="5"/>
        <v>0.32630000000000003</v>
      </c>
      <c r="N53" s="192" t="str">
        <f t="shared" si="0"/>
        <v>R1RESIDENTIAL</v>
      </c>
      <c r="O53" s="134">
        <f>SUMIFS(Sales!$E$7:$E$54,Sales!$B$7:$B$54,$F53,Sales!$C$7:$C$54,$N53)/SUMIFS(Sales!$E$7:$E$54,Sales!$C$7:$C$54,$N53)</f>
        <v>7.00257602088772E-2</v>
      </c>
      <c r="P53" s="120">
        <f>O53*(INDEX(Annual!$O$9:$O$22,MATCH($AC53,Annual!$AD$9:$AD$22,0)))</f>
        <v>445.36383492845897</v>
      </c>
      <c r="Q53" s="134">
        <f>INDEX(Inputs!$E$114:$E$125,MATCH(F53,Inputs!$C$114:$C$125,0))</f>
        <v>7.6465910496739911E-2</v>
      </c>
      <c r="R53" s="840">
        <f>Q53*INDEX(Annual!$U$9:$U$22,MATCH(AC53,Annual!$AD$9:$AD$22,0))</f>
        <v>215.17507213782611</v>
      </c>
      <c r="S53" s="164">
        <f t="shared" si="16"/>
        <v>70.21162603857266</v>
      </c>
      <c r="T53" s="165">
        <f>INDEX(Inputs!$F$114:$F$125,MATCH(F53,Inputs!$C$114:$C$125,0))</f>
        <v>4.0589867133888159E-2</v>
      </c>
      <c r="U53" s="264">
        <f>T53*IF(D53="HP prior to CVEO",INDEX(Annual!$P$9:$P$22,MATCH(AC53,Annual!$AD$9:$AD$22,0)),INDEX(Annual!$V$9:$V$22,MATCH(AC53,Annual!$AD$9:$AD$22,0)))</f>
        <v>304.29072611545314</v>
      </c>
      <c r="V53" s="222">
        <f>IF(E53="No",0,_xlfn.IFNA(INDEX(Inputs!$E$50:$E$53,MATCH("Events in "&amp;F53,Inputs!$C$50:$C$53,0)),0)*Inputs!$E$46*Inputs!$E$54)</f>
        <v>0</v>
      </c>
      <c r="W53" s="166">
        <f>V53*(1-Inputs!$E$48)</f>
        <v>0</v>
      </c>
      <c r="X53" s="120">
        <f t="shared" si="12"/>
        <v>749.65456104391205</v>
      </c>
      <c r="Y53" s="120">
        <f t="shared" si="13"/>
        <v>534.47948890608598</v>
      </c>
      <c r="Z53" s="20">
        <f t="shared" si="14"/>
        <v>184.40065723005588</v>
      </c>
      <c r="AA53" s="20">
        <f t="shared" si="7"/>
        <v>0</v>
      </c>
      <c r="AB53" s="21">
        <f t="shared" si="15"/>
        <v>0</v>
      </c>
      <c r="AC53" s="185" t="str">
        <f t="shared" si="8"/>
        <v>ResidentialElectricDuctlessNo</v>
      </c>
      <c r="AD53" t="s">
        <v>27</v>
      </c>
      <c r="AG53" s="86"/>
      <c r="AI53" s="58"/>
    </row>
    <row r="54" spans="2:35" x14ac:dyDescent="0.25">
      <c r="B54" s="36" t="s">
        <v>182</v>
      </c>
      <c r="C54" t="s">
        <v>138</v>
      </c>
      <c r="D54" t="s">
        <v>131</v>
      </c>
      <c r="E54" t="s">
        <v>234</v>
      </c>
      <c r="F54" s="18" t="s">
        <v>111</v>
      </c>
      <c r="G54" s="239">
        <f>IF($B54="Residential",0,Inputs!$E$103)</f>
        <v>0</v>
      </c>
      <c r="H54" s="162">
        <f>Inputs!$E$98/12</f>
        <v>10</v>
      </c>
      <c r="I54" s="184">
        <f>INDEX(Inputs!$D$114:$D$125,MATCH(F54,Inputs!$C$114:$C$125,0))</f>
        <v>0.10368000000000001</v>
      </c>
      <c r="J54" s="161">
        <f>Inputs!$E$100</f>
        <v>0.29464000000000001</v>
      </c>
      <c r="K54" s="139">
        <f>Inputs!$E$101</f>
        <v>2.8649999999999998E-2</v>
      </c>
      <c r="L54" s="791">
        <f>EES!$I$23</f>
        <v>3.0100000000000023E-3</v>
      </c>
      <c r="M54" s="190">
        <f t="shared" si="5"/>
        <v>0.32630000000000003</v>
      </c>
      <c r="N54" s="192" t="str">
        <f t="shared" si="0"/>
        <v>R1RESIDENTIAL</v>
      </c>
      <c r="O54" s="134">
        <f>SUMIFS(Sales!$E$7:$E$54,Sales!$B$7:$B$54,$F54,Sales!$C$7:$C$54,$N54)/SUMIFS(Sales!$E$7:$E$54,Sales!$C$7:$C$54,$N54)</f>
        <v>5.5795384714951879E-2</v>
      </c>
      <c r="P54" s="120">
        <f>O54*(INDEX(Annual!$O$9:$O$22,MATCH($AC54,Annual!$AD$9:$AD$22,0)))</f>
        <v>354.85864678709396</v>
      </c>
      <c r="Q54" s="134">
        <f>INDEX(Inputs!$E$114:$E$125,MATCH(F54,Inputs!$C$114:$C$125,0))</f>
        <v>5.8509626541612472E-2</v>
      </c>
      <c r="R54" s="840">
        <f>Q54*INDEX(Annual!$U$9:$U$22,MATCH(AC54,Annual!$AD$9:$AD$22,0))</f>
        <v>164.64608908809748</v>
      </c>
      <c r="S54" s="164">
        <f t="shared" si="16"/>
        <v>53.724018869446212</v>
      </c>
      <c r="T54" s="165">
        <f>INDEX(Inputs!$F$114:$F$125,MATCH(F54,Inputs!$C$114:$C$125,0))</f>
        <v>0.10643889618922471</v>
      </c>
      <c r="U54" s="264">
        <f>T54*IF(D54="HP prior to CVEO",INDEX(Annual!$P$9:$P$22,MATCH(AC54,Annual!$AD$9:$AD$22,0)),INDEX(Annual!$V$9:$V$22,MATCH(AC54,Annual!$AD$9:$AD$22,0)))</f>
        <v>797.94222783512714</v>
      </c>
      <c r="V54" s="222">
        <f>IF(E54="No",0,_xlfn.IFNA(INDEX(Inputs!$E$50:$E$53,MATCH("Events in "&amp;F54,Inputs!$C$50:$C$53,0)),0)*Inputs!$E$46*Inputs!$E$54)</f>
        <v>0</v>
      </c>
      <c r="W54" s="166">
        <f>V54*(1-Inputs!$E$48)</f>
        <v>0</v>
      </c>
      <c r="X54" s="120">
        <f t="shared" si="12"/>
        <v>1152.800874622221</v>
      </c>
      <c r="Y54" s="120">
        <f t="shared" si="13"/>
        <v>988.15478553412356</v>
      </c>
      <c r="Z54" s="20">
        <f t="shared" si="14"/>
        <v>332.43490651978453</v>
      </c>
      <c r="AA54" s="20">
        <f t="shared" si="7"/>
        <v>0</v>
      </c>
      <c r="AB54" s="21">
        <f t="shared" si="15"/>
        <v>0</v>
      </c>
      <c r="AC54" s="185" t="str">
        <f t="shared" si="8"/>
        <v>ResidentialElectricDuctlessNo</v>
      </c>
      <c r="AD54" t="s">
        <v>27</v>
      </c>
      <c r="AG54" s="86"/>
      <c r="AI54" s="58"/>
    </row>
    <row r="55" spans="2:35" x14ac:dyDescent="0.25">
      <c r="B55" s="36" t="s">
        <v>182</v>
      </c>
      <c r="C55" t="s">
        <v>138</v>
      </c>
      <c r="D55" t="s">
        <v>131</v>
      </c>
      <c r="E55" t="s">
        <v>234</v>
      </c>
      <c r="F55" s="18" t="s">
        <v>112</v>
      </c>
      <c r="G55" s="239">
        <f>IF($B55="Residential",0,Inputs!$E$103)</f>
        <v>0</v>
      </c>
      <c r="H55" s="162">
        <f>Inputs!$E$98/12</f>
        <v>10</v>
      </c>
      <c r="I55" s="184">
        <f>INDEX(Inputs!$D$114:$D$125,MATCH(F55,Inputs!$C$114:$C$125,0))</f>
        <v>7.7920000000000003E-2</v>
      </c>
      <c r="J55" s="161">
        <f>Inputs!$E$100</f>
        <v>0.29464000000000001</v>
      </c>
      <c r="K55" s="139">
        <f>Inputs!$E$101</f>
        <v>2.8649999999999998E-2</v>
      </c>
      <c r="L55" s="791">
        <f>EES!$I$23</f>
        <v>3.0100000000000023E-3</v>
      </c>
      <c r="M55" s="190">
        <f t="shared" si="5"/>
        <v>0.32630000000000003</v>
      </c>
      <c r="N55" s="192" t="str">
        <f t="shared" si="0"/>
        <v>R1RESIDENTIAL</v>
      </c>
      <c r="O55" s="134">
        <f>SUMIFS(Sales!$E$7:$E$54,Sales!$B$7:$B$54,$F55,Sales!$C$7:$C$54,$N55)/SUMIFS(Sales!$E$7:$E$54,Sales!$C$7:$C$54,$N55)</f>
        <v>8.2806921863112365E-2</v>
      </c>
      <c r="P55" s="120">
        <f>O55*(INDEX(Annual!$O$9:$O$22,MATCH($AC55,Annual!$AD$9:$AD$22,0)))</f>
        <v>526.65202304939464</v>
      </c>
      <c r="Q55" s="134">
        <f>INDEX(Inputs!$E$114:$E$125,MATCH(F55,Inputs!$C$114:$C$125,0))</f>
        <v>4.8504549439315578E-2</v>
      </c>
      <c r="R55" s="840">
        <f>Q55*INDEX(Annual!$U$9:$U$22,MATCH(AC55,Annual!$AD$9:$AD$22,0))</f>
        <v>136.49180212223405</v>
      </c>
      <c r="S55" s="164">
        <f t="shared" si="16"/>
        <v>44.537275032484978</v>
      </c>
      <c r="T55" s="165">
        <f>INDEX(Inputs!$F$114:$F$125,MATCH(F55,Inputs!$C$114:$C$125,0))</f>
        <v>0.15389107898963353</v>
      </c>
      <c r="U55" s="264">
        <f>T55*IF(D55="HP prior to CVEO",INDEX(Annual!$P$9:$P$22,MATCH(AC55,Annual!$AD$9:$AD$22,0)),INDEX(Annual!$V$9:$V$22,MATCH(AC55,Annual!$AD$9:$AD$22,0)))</f>
        <v>1153.6777889413224</v>
      </c>
      <c r="V55" s="222">
        <f>IF(E55="No",0,_xlfn.IFNA(INDEX(Inputs!$E$50:$E$53,MATCH("Events in "&amp;F55,Inputs!$C$50:$C$53,0)),0)*Inputs!$E$46*Inputs!$E$54)</f>
        <v>0</v>
      </c>
      <c r="W55" s="166">
        <f>V55*(1-Inputs!$E$48)</f>
        <v>0</v>
      </c>
      <c r="X55" s="120">
        <f t="shared" si="12"/>
        <v>1680.3298119907172</v>
      </c>
      <c r="Y55" s="120">
        <f t="shared" si="13"/>
        <v>1543.8380098684831</v>
      </c>
      <c r="Z55" s="20">
        <f t="shared" si="14"/>
        <v>513.75434262008616</v>
      </c>
      <c r="AA55" s="20">
        <f t="shared" si="7"/>
        <v>0</v>
      </c>
      <c r="AB55" s="21">
        <f t="shared" si="15"/>
        <v>0</v>
      </c>
      <c r="AC55" s="185" t="str">
        <f t="shared" si="8"/>
        <v>ResidentialElectricDuctlessNo</v>
      </c>
      <c r="AD55" t="s">
        <v>27</v>
      </c>
      <c r="AG55" s="86"/>
      <c r="AI55" s="58"/>
    </row>
    <row r="56" spans="2:35" x14ac:dyDescent="0.25">
      <c r="B56" s="36" t="s">
        <v>182</v>
      </c>
      <c r="C56" t="s">
        <v>138</v>
      </c>
      <c r="D56" t="s">
        <v>721</v>
      </c>
      <c r="E56" t="s">
        <v>233</v>
      </c>
      <c r="F56" s="18" t="s">
        <v>101</v>
      </c>
      <c r="G56" s="239">
        <f>IF($B56="Residential",0,Inputs!$E$103)</f>
        <v>0</v>
      </c>
      <c r="H56" s="162">
        <f>Inputs!$E$98/12</f>
        <v>10</v>
      </c>
      <c r="I56" s="184">
        <f>INDEX(Inputs!$D$114:$D$125,MATCH(F56,Inputs!$C$114:$C$125,0))</f>
        <v>4.6359999999999998E-2</v>
      </c>
      <c r="J56" s="161">
        <f>Inputs!$E$100</f>
        <v>0.29464000000000001</v>
      </c>
      <c r="K56" s="139">
        <f>Inputs!$E$101</f>
        <v>2.8649999999999998E-2</v>
      </c>
      <c r="L56" s="791">
        <f>EES!$I$23</f>
        <v>3.0100000000000023E-3</v>
      </c>
      <c r="M56" s="190">
        <f t="shared" ref="M56:M67" si="17">SUM(J56:L56)</f>
        <v>0.32630000000000003</v>
      </c>
      <c r="N56" s="192" t="str">
        <f t="shared" si="0"/>
        <v>R1RESIDENTIAL</v>
      </c>
      <c r="O56" s="134">
        <f>SUMIFS(Sales!$E$7:$E$54,Sales!$B$7:$B$54,$F56,Sales!$C$7:$C$54,$N56)/SUMIFS(Sales!$E$7:$E$54,Sales!$C$7:$C$54,$N56)</f>
        <v>8.3575449932271006E-2</v>
      </c>
      <c r="P56" s="120">
        <f>O56*(INDEX(Annual!$O$9:$O$22,MATCH($AC56,Annual!$AD$9:$AD$22,0)))</f>
        <v>531.53986156924361</v>
      </c>
      <c r="Q56" s="134">
        <f>INDEX(Inputs!$E$114:$E$125,MATCH(F56,Inputs!$C$114:$C$125,0))</f>
        <v>5.9304226053352373E-2</v>
      </c>
      <c r="R56" s="840">
        <f>Q56*INDEX(Annual!$U$9:$U$22,MATCH(AC56,Annual!$AD$9:$AD$22,0))</f>
        <v>757.25566247525649</v>
      </c>
      <c r="S56" s="164">
        <f t="shared" si="16"/>
        <v>247.09252266567623</v>
      </c>
      <c r="T56" s="165">
        <f>INDEX(Inputs!$F$114:$F$125,MATCH(F56,Inputs!$C$114:$C$125,0))</f>
        <v>0.16338151554971528</v>
      </c>
      <c r="U56" s="264">
        <f>T56*IF(D56="HP prior to CVEO",INDEX(Annual!$P$9:$P$22,MATCH(AC56,Annual!$AD$9:$AD$22,0)),INDEX(Annual!$V$9:$V$22,MATCH(AC56,Annual!$AD$9:$AD$22,0)))</f>
        <v>1183.6979131468618</v>
      </c>
      <c r="V56" s="222">
        <f>IF(E56="No",0,_xlfn.IFNA(INDEX(Inputs!$E$50:$E$53,MATCH("Events in "&amp;F56,Inputs!$C$50:$C$53,0)),0)*Inputs!$E$46*Inputs!$E$54)</f>
        <v>0</v>
      </c>
      <c r="W56" s="166">
        <f>V56*(1-Inputs!$E$48)</f>
        <v>0</v>
      </c>
      <c r="X56" s="120">
        <f t="shared" si="12"/>
        <v>1715.2377747161054</v>
      </c>
      <c r="Y56" s="120">
        <f t="shared" si="13"/>
        <v>957.98211224084889</v>
      </c>
      <c r="Z56" s="20">
        <f t="shared" si="14"/>
        <v>322.58956322418902</v>
      </c>
      <c r="AA56" s="20">
        <f t="shared" si="7"/>
        <v>0</v>
      </c>
      <c r="AB56" s="21">
        <f t="shared" si="15"/>
        <v>0</v>
      </c>
      <c r="AC56" s="185" t="str">
        <f t="shared" si="8"/>
        <v>ResidentialElectricHP prior to CVEOYes</v>
      </c>
      <c r="AD56" t="s">
        <v>27</v>
      </c>
      <c r="AG56" s="841"/>
      <c r="AI56" s="58"/>
    </row>
    <row r="57" spans="2:35" x14ac:dyDescent="0.25">
      <c r="B57" s="36" t="s">
        <v>182</v>
      </c>
      <c r="C57" t="s">
        <v>138</v>
      </c>
      <c r="D57" t="s">
        <v>721</v>
      </c>
      <c r="E57" t="s">
        <v>233</v>
      </c>
      <c r="F57" s="18" t="s">
        <v>102</v>
      </c>
      <c r="G57" s="239">
        <f>IF($B57="Residential",0,Inputs!$E$103)</f>
        <v>0</v>
      </c>
      <c r="H57" s="162">
        <f>Inputs!$E$98/12</f>
        <v>10</v>
      </c>
      <c r="I57" s="184">
        <f>INDEX(Inputs!$D$114:$D$125,MATCH(F57,Inputs!$C$114:$C$125,0))</f>
        <v>3.5580000000000001E-2</v>
      </c>
      <c r="J57" s="161">
        <f>Inputs!$E$100</f>
        <v>0.29464000000000001</v>
      </c>
      <c r="K57" s="139">
        <f>Inputs!$E$101</f>
        <v>2.8649999999999998E-2</v>
      </c>
      <c r="L57" s="791">
        <f>EES!$I$23</f>
        <v>3.0100000000000023E-3</v>
      </c>
      <c r="M57" s="190">
        <f t="shared" si="17"/>
        <v>0.32630000000000003</v>
      </c>
      <c r="N57" s="192" t="str">
        <f t="shared" si="0"/>
        <v>R1RESIDENTIAL</v>
      </c>
      <c r="O57" s="134">
        <f>SUMIFS(Sales!$E$7:$E$54,Sales!$B$7:$B$54,$F57,Sales!$C$7:$C$54,$N57)/SUMIFS(Sales!$E$7:$E$54,Sales!$C$7:$C$54,$N57)</f>
        <v>7.9283880430769713E-2</v>
      </c>
      <c r="P57" s="120">
        <f>O57*(INDEX(Annual!$O$9:$O$22,MATCH($AC57,Annual!$AD$9:$AD$22,0)))</f>
        <v>504.2454795396954</v>
      </c>
      <c r="Q57" s="134">
        <f>INDEX(Inputs!$E$114:$E$125,MATCH(F57,Inputs!$C$114:$C$125,0))</f>
        <v>7.056160122921061E-2</v>
      </c>
      <c r="R57" s="840">
        <f>Q57*INDEX(Annual!$U$9:$U$22,MATCH(AC57,Annual!$AD$9:$AD$22,0))</f>
        <v>901.00108609579024</v>
      </c>
      <c r="S57" s="164">
        <f t="shared" si="16"/>
        <v>293.99665439305636</v>
      </c>
      <c r="T57" s="165">
        <f>INDEX(Inputs!$F$114:$F$125,MATCH(F57,Inputs!$C$114:$C$125,0))</f>
        <v>0.2087896043217988</v>
      </c>
      <c r="U57" s="264">
        <f>T57*IF(D57="HP prior to CVEO",INDEX(Annual!$P$9:$P$22,MATCH(AC57,Annual!$AD$9:$AD$22,0)),INDEX(Annual!$V$9:$V$22,MATCH(AC57,Annual!$AD$9:$AD$22,0)))</f>
        <v>1512.6791919571156</v>
      </c>
      <c r="V57" s="222">
        <f>IF(E57="No",0,_xlfn.IFNA(INDEX(Inputs!$E$50:$E$53,MATCH("Events in "&amp;F57,Inputs!$C$50:$C$53,0)),0)*Inputs!$E$46*Inputs!$E$54)</f>
        <v>0</v>
      </c>
      <c r="W57" s="166">
        <f>V57*(1-Inputs!$E$48)</f>
        <v>0</v>
      </c>
      <c r="X57" s="120">
        <f t="shared" si="12"/>
        <v>2016.924671496811</v>
      </c>
      <c r="Y57" s="120">
        <f t="shared" si="13"/>
        <v>1115.9235854010208</v>
      </c>
      <c r="Z57" s="20">
        <f t="shared" si="14"/>
        <v>374.12586591635312</v>
      </c>
      <c r="AA57" s="20">
        <f t="shared" si="7"/>
        <v>0</v>
      </c>
      <c r="AB57" s="21">
        <f t="shared" si="15"/>
        <v>0</v>
      </c>
      <c r="AC57" s="185" t="str">
        <f t="shared" si="8"/>
        <v>ResidentialElectricHP prior to CVEOYes</v>
      </c>
      <c r="AD57" t="s">
        <v>27</v>
      </c>
      <c r="AG57" s="86"/>
      <c r="AI57" s="58"/>
    </row>
    <row r="58" spans="2:35" x14ac:dyDescent="0.25">
      <c r="B58" s="36" t="s">
        <v>182</v>
      </c>
      <c r="C58" t="s">
        <v>138</v>
      </c>
      <c r="D58" t="s">
        <v>721</v>
      </c>
      <c r="E58" t="s">
        <v>233</v>
      </c>
      <c r="F58" s="18" t="s">
        <v>103</v>
      </c>
      <c r="G58" s="239">
        <f>IF($B58="Residential",0,Inputs!$E$103)</f>
        <v>0</v>
      </c>
      <c r="H58" s="162">
        <f>Inputs!$E$98/12</f>
        <v>10</v>
      </c>
      <c r="I58" s="184">
        <f>INDEX(Inputs!$D$114:$D$125,MATCH(F58,Inputs!$C$114:$C$125,0))</f>
        <v>3.8429999999999999E-2</v>
      </c>
      <c r="J58" s="161">
        <f>Inputs!$E$100</f>
        <v>0.29464000000000001</v>
      </c>
      <c r="K58" s="139">
        <f>Inputs!$E$101</f>
        <v>2.8649999999999998E-2</v>
      </c>
      <c r="L58" s="791">
        <f>EES!$I$23</f>
        <v>3.0100000000000023E-3</v>
      </c>
      <c r="M58" s="190">
        <f t="shared" si="17"/>
        <v>0.32630000000000003</v>
      </c>
      <c r="N58" s="192" t="str">
        <f t="shared" si="0"/>
        <v>R1RESIDENTIAL</v>
      </c>
      <c r="O58" s="134">
        <f>SUMIFS(Sales!$E$7:$E$54,Sales!$B$7:$B$54,$F58,Sales!$C$7:$C$54,$N58)/SUMIFS(Sales!$E$7:$E$54,Sales!$C$7:$C$54,$N58)</f>
        <v>7.0531220518429347E-2</v>
      </c>
      <c r="P58" s="120">
        <f>O58*(INDEX(Annual!$O$9:$O$22,MATCH($AC58,Annual!$AD$9:$AD$22,0)))</f>
        <v>448.57856249721067</v>
      </c>
      <c r="Q58" s="134">
        <f>INDEX(Inputs!$E$114:$E$125,MATCH(F58,Inputs!$C$114:$C$125,0))</f>
        <v>9.1691796536674613E-2</v>
      </c>
      <c r="R58" s="840">
        <f>Q58*INDEX(Annual!$U$9:$U$22,MATCH(AC58,Annual!$AD$9:$AD$22,0))</f>
        <v>1170.8125499767982</v>
      </c>
      <c r="S58" s="164">
        <f t="shared" si="16"/>
        <v>382.03613505742931</v>
      </c>
      <c r="T58" s="165">
        <f>INDEX(Inputs!$F$114:$F$125,MATCH(F58,Inputs!$C$114:$C$125,0))</f>
        <v>0.14002044094028326</v>
      </c>
      <c r="U58" s="264">
        <f>T58*IF(D58="HP prior to CVEO",INDEX(Annual!$P$9:$P$22,MATCH(AC58,Annual!$AD$9:$AD$22,0)),INDEX(Annual!$V$9:$V$22,MATCH(AC58,Annual!$AD$9:$AD$22,0)))</f>
        <v>1014.4470944663454</v>
      </c>
      <c r="V58" s="222">
        <f>IF(E58="No",0,_xlfn.IFNA(INDEX(Inputs!$E$50:$E$53,MATCH("Events in "&amp;F58,Inputs!$C$50:$C$53,0)),0)*Inputs!$E$46*Inputs!$E$54)</f>
        <v>0</v>
      </c>
      <c r="W58" s="166">
        <f>V58*(1-Inputs!$E$48)</f>
        <v>0</v>
      </c>
      <c r="X58" s="120">
        <f t="shared" si="12"/>
        <v>1463.0256569635562</v>
      </c>
      <c r="Y58" s="120">
        <f t="shared" si="13"/>
        <v>292.21310698675802</v>
      </c>
      <c r="Z58" s="20">
        <f t="shared" si="14"/>
        <v>105.34913680977915</v>
      </c>
      <c r="AA58" s="20">
        <f t="shared" si="7"/>
        <v>0</v>
      </c>
      <c r="AB58" s="21">
        <f t="shared" si="15"/>
        <v>0</v>
      </c>
      <c r="AC58" s="185" t="str">
        <f t="shared" si="8"/>
        <v>ResidentialElectricHP prior to CVEOYes</v>
      </c>
      <c r="AD58" t="s">
        <v>27</v>
      </c>
      <c r="AG58" s="86"/>
      <c r="AI58" s="58"/>
    </row>
    <row r="59" spans="2:35" x14ac:dyDescent="0.25">
      <c r="B59" s="36" t="s">
        <v>182</v>
      </c>
      <c r="C59" t="s">
        <v>138</v>
      </c>
      <c r="D59" t="s">
        <v>721</v>
      </c>
      <c r="E59" t="s">
        <v>233</v>
      </c>
      <c r="F59" s="18" t="s">
        <v>104</v>
      </c>
      <c r="G59" s="239">
        <f>IF($B59="Residential",0,Inputs!$E$103)</f>
        <v>0</v>
      </c>
      <c r="H59" s="162">
        <f>Inputs!$E$98/12</f>
        <v>10</v>
      </c>
      <c r="I59" s="184">
        <f>INDEX(Inputs!$D$114:$D$125,MATCH(F59,Inputs!$C$114:$C$125,0))</f>
        <v>3.9399999999999998E-2</v>
      </c>
      <c r="J59" s="161">
        <f>Inputs!$E$100</f>
        <v>0.29464000000000001</v>
      </c>
      <c r="K59" s="139">
        <f>Inputs!$E$101</f>
        <v>2.8649999999999998E-2</v>
      </c>
      <c r="L59" s="791">
        <f>EES!$I$23</f>
        <v>3.0100000000000023E-3</v>
      </c>
      <c r="M59" s="190">
        <f t="shared" si="17"/>
        <v>0.32630000000000003</v>
      </c>
      <c r="N59" s="192" t="str">
        <f t="shared" si="0"/>
        <v>R1RESIDENTIAL</v>
      </c>
      <c r="O59" s="134">
        <f>SUMIFS(Sales!$E$7:$E$54,Sales!$B$7:$B$54,$F59,Sales!$C$7:$C$54,$N59)/SUMIFS(Sales!$E$7:$E$54,Sales!$C$7:$C$54,$N59)</f>
        <v>6.4474909849621148E-2</v>
      </c>
      <c r="P59" s="120">
        <f>O59*(INDEX(Annual!$O$9:$O$22,MATCH($AC59,Annual!$AD$9:$AD$22,0)))</f>
        <v>410.06042664359052</v>
      </c>
      <c r="Q59" s="134">
        <f>INDEX(Inputs!$E$114:$E$125,MATCH(F59,Inputs!$C$114:$C$125,0))</f>
        <v>9.5902218316044743E-2</v>
      </c>
      <c r="R59" s="840">
        <f>Q59*INDEX(Annual!$U$9:$U$22,MATCH(AC59,Annual!$AD$9:$AD$22,0))</f>
        <v>1224.5754256775754</v>
      </c>
      <c r="S59" s="164">
        <f t="shared" si="16"/>
        <v>399.57896139859287</v>
      </c>
      <c r="T59" s="165">
        <f>INDEX(Inputs!$F$114:$F$125,MATCH(F59,Inputs!$C$114:$C$125,0))</f>
        <v>8.1909767849321066E-2</v>
      </c>
      <c r="U59" s="264">
        <f>T59*IF(D59="HP prior to CVEO",INDEX(Annual!$P$9:$P$22,MATCH(AC59,Annual!$AD$9:$AD$22,0)),INDEX(Annual!$V$9:$V$22,MATCH(AC59,Annual!$AD$9:$AD$22,0)))</f>
        <v>593.43568299856065</v>
      </c>
      <c r="V59" s="222">
        <f>IF(E59="No",0,_xlfn.IFNA(INDEX(Inputs!$E$50:$E$53,MATCH("Events in "&amp;F59,Inputs!$C$50:$C$53,0)),0)*Inputs!$E$46*Inputs!$E$54)</f>
        <v>0</v>
      </c>
      <c r="W59" s="166">
        <f>V59*(1-Inputs!$E$48)</f>
        <v>0</v>
      </c>
      <c r="X59" s="120">
        <f t="shared" si="12"/>
        <v>1003.4961096421512</v>
      </c>
      <c r="Y59" s="120">
        <f t="shared" si="13"/>
        <v>-221.0793160354242</v>
      </c>
      <c r="Z59" s="20">
        <f t="shared" si="14"/>
        <v>1.2894749482042869</v>
      </c>
      <c r="AA59" s="20">
        <f t="shared" si="7"/>
        <v>8.7105250517957131</v>
      </c>
      <c r="AB59" s="21">
        <f t="shared" si="15"/>
        <v>0</v>
      </c>
      <c r="AC59" s="185" t="str">
        <f t="shared" si="8"/>
        <v>ResidentialElectricHP prior to CVEOYes</v>
      </c>
      <c r="AD59" t="s">
        <v>27</v>
      </c>
      <c r="AG59" s="86"/>
      <c r="AI59" s="58"/>
    </row>
    <row r="60" spans="2:35" x14ac:dyDescent="0.25">
      <c r="B60" s="36" t="s">
        <v>182</v>
      </c>
      <c r="C60" t="s">
        <v>138</v>
      </c>
      <c r="D60" t="s">
        <v>721</v>
      </c>
      <c r="E60" t="s">
        <v>233</v>
      </c>
      <c r="F60" s="18" t="s">
        <v>105</v>
      </c>
      <c r="G60" s="239">
        <f>IF($B60="Residential",0,Inputs!$E$103)</f>
        <v>0</v>
      </c>
      <c r="H60" s="162">
        <f>Inputs!$E$98/12</f>
        <v>10</v>
      </c>
      <c r="I60" s="184">
        <f>INDEX(Inputs!$D$114:$D$125,MATCH(F60,Inputs!$C$114:$C$125,0))</f>
        <v>4.827E-2</v>
      </c>
      <c r="J60" s="161">
        <f>Inputs!$E$100</f>
        <v>0.29464000000000001</v>
      </c>
      <c r="K60" s="139">
        <f>Inputs!$E$101</f>
        <v>2.8649999999999998E-2</v>
      </c>
      <c r="L60" s="791">
        <f>EES!$I$23</f>
        <v>3.0100000000000023E-3</v>
      </c>
      <c r="M60" s="190">
        <f t="shared" si="17"/>
        <v>0.32630000000000003</v>
      </c>
      <c r="N60" s="192" t="str">
        <f t="shared" si="0"/>
        <v>R1RESIDENTIAL</v>
      </c>
      <c r="O60" s="134">
        <f>SUMIFS(Sales!$E$7:$E$54,Sales!$B$7:$B$54,$F60,Sales!$C$7:$C$54,$N60)/SUMIFS(Sales!$E$7:$E$54,Sales!$C$7:$C$54,$N60)</f>
        <v>6.2342368040081801E-2</v>
      </c>
      <c r="P60" s="120">
        <f>O60*(INDEX(Annual!$O$9:$O$22,MATCH($AC60,Annual!$AD$9:$AD$22,0)))</f>
        <v>396.49746073492025</v>
      </c>
      <c r="Q60" s="134">
        <f>INDEX(Inputs!$E$114:$E$125,MATCH(F60,Inputs!$C$114:$C$125,0))</f>
        <v>0.10405019139401983</v>
      </c>
      <c r="R60" s="840">
        <f>Q60*INDEX(Annual!$U$9:$U$22,MATCH(AC60,Annual!$AD$9:$AD$22,0))</f>
        <v>1328.6168939102392</v>
      </c>
      <c r="S60" s="164">
        <f t="shared" si="16"/>
        <v>433.52769248291111</v>
      </c>
      <c r="T60" s="165">
        <f>INDEX(Inputs!$F$114:$F$125,MATCH(F60,Inputs!$C$114:$C$125,0))</f>
        <v>5.577456563001898E-2</v>
      </c>
      <c r="U60" s="264">
        <f>T60*IF(D60="HP prior to CVEO",INDEX(Annual!$P$9:$P$22,MATCH(AC60,Annual!$AD$9:$AD$22,0)),INDEX(Annual!$V$9:$V$22,MATCH(AC60,Annual!$AD$9:$AD$22,0)))</f>
        <v>404.08632959973295</v>
      </c>
      <c r="V60" s="222">
        <f>IF(E60="No",0,_xlfn.IFNA(INDEX(Inputs!$E$50:$E$53,MATCH("Events in "&amp;F60,Inputs!$C$50:$C$53,0)),0)*Inputs!$E$46*Inputs!$E$54)</f>
        <v>0</v>
      </c>
      <c r="W60" s="166">
        <f>V60*(1-Inputs!$E$48)</f>
        <v>0</v>
      </c>
      <c r="X60" s="120">
        <f t="shared" si="12"/>
        <v>800.58379033465326</v>
      </c>
      <c r="Y60" s="120">
        <f t="shared" si="13"/>
        <v>-528.03310357558598</v>
      </c>
      <c r="Z60" s="20">
        <f t="shared" si="14"/>
        <v>-15.488157909593536</v>
      </c>
      <c r="AA60" s="20">
        <f t="shared" si="7"/>
        <v>25.488157909593536</v>
      </c>
      <c r="AB60" s="21">
        <f t="shared" si="15"/>
        <v>0</v>
      </c>
      <c r="AC60" s="185" t="str">
        <f t="shared" si="8"/>
        <v>ResidentialElectricHP prior to CVEOYes</v>
      </c>
      <c r="AD60" t="s">
        <v>27</v>
      </c>
      <c r="AI60" s="58"/>
    </row>
    <row r="61" spans="2:35" x14ac:dyDescent="0.25">
      <c r="B61" s="36" t="s">
        <v>182</v>
      </c>
      <c r="C61" t="s">
        <v>138</v>
      </c>
      <c r="D61" t="s">
        <v>721</v>
      </c>
      <c r="E61" t="s">
        <v>233</v>
      </c>
      <c r="F61" s="18" t="s">
        <v>106</v>
      </c>
      <c r="G61" s="239">
        <f>IF($B61="Residential",0,Inputs!$E$103)</f>
        <v>0</v>
      </c>
      <c r="H61" s="162">
        <f>Inputs!$E$98/12</f>
        <v>10</v>
      </c>
      <c r="I61" s="184">
        <f>INDEX(Inputs!$D$114:$D$125,MATCH(F61,Inputs!$C$114:$C$125,0))</f>
        <v>5.8689999999999999E-2</v>
      </c>
      <c r="J61" s="161">
        <f>Inputs!$E$100</f>
        <v>0.29464000000000001</v>
      </c>
      <c r="K61" s="139">
        <f>Inputs!$E$101</f>
        <v>2.8649999999999998E-2</v>
      </c>
      <c r="L61" s="791">
        <f>EES!$I$23</f>
        <v>3.0100000000000023E-3</v>
      </c>
      <c r="M61" s="190">
        <f t="shared" si="17"/>
        <v>0.32630000000000003</v>
      </c>
      <c r="N61" s="192" t="str">
        <f t="shared" si="0"/>
        <v>R1RESIDENTIAL</v>
      </c>
      <c r="O61" s="134">
        <f>SUMIFS(Sales!$E$7:$E$54,Sales!$B$7:$B$54,$F61,Sales!$C$7:$C$54,$N61)/SUMIFS(Sales!$E$7:$E$54,Sales!$C$7:$C$54,$N61)</f>
        <v>6.9121730629464501E-2</v>
      </c>
      <c r="P61" s="120">
        <f>O61*(INDEX(Annual!$O$9:$O$22,MATCH($AC61,Annual!$AD$9:$AD$22,0)))</f>
        <v>439.61420680339421</v>
      </c>
      <c r="Q61" s="134">
        <f>INDEX(Inputs!$E$114:$E$125,MATCH(F61,Inputs!$C$114:$C$125,0))</f>
        <v>9.7397110361162206E-2</v>
      </c>
      <c r="R61" s="840">
        <f>Q61*INDEX(Annual!$U$9:$U$22,MATCH(AC61,Annual!$AD$9:$AD$22,0))</f>
        <v>1243.6637022016803</v>
      </c>
      <c r="S61" s="164">
        <f t="shared" si="16"/>
        <v>405.80746602840833</v>
      </c>
      <c r="T61" s="165">
        <f>INDEX(Inputs!$F$114:$F$125,MATCH(F61,Inputs!$C$114:$C$125,0))</f>
        <v>2.044094028325303E-2</v>
      </c>
      <c r="U61" s="264">
        <f>T61*IF(D61="HP prior to CVEO",INDEX(Annual!$P$9:$P$22,MATCH(AC61,Annual!$AD$9:$AD$22,0)),INDEX(Annual!$V$9:$V$22,MATCH(AC61,Annual!$AD$9:$AD$22,0)))</f>
        <v>148.09446634545188</v>
      </c>
      <c r="V61" s="222">
        <f>IF(E61="No",0,_xlfn.IFNA(INDEX(Inputs!$E$50:$E$53,MATCH("Events in "&amp;F61,Inputs!$C$50:$C$53,0)),0)*Inputs!$E$46*Inputs!$E$54)</f>
        <v>13.56</v>
      </c>
      <c r="W61" s="166">
        <f>V61*(1-Inputs!$E$48)</f>
        <v>1.3559999999999997</v>
      </c>
      <c r="X61" s="120">
        <f t="shared" si="12"/>
        <v>589.06467314884605</v>
      </c>
      <c r="Y61" s="120">
        <f t="shared" si="13"/>
        <v>-654.59902905283423</v>
      </c>
      <c r="Z61" s="20">
        <f t="shared" si="14"/>
        <v>-28.41841701511084</v>
      </c>
      <c r="AA61" s="20">
        <f t="shared" si="7"/>
        <v>38.41841701511084</v>
      </c>
      <c r="AB61" s="21">
        <f t="shared" si="15"/>
        <v>0</v>
      </c>
      <c r="AC61" s="185" t="str">
        <f t="shared" si="8"/>
        <v>ResidentialElectricHP prior to CVEOYes</v>
      </c>
      <c r="AD61" t="s">
        <v>27</v>
      </c>
      <c r="AI61" s="58"/>
    </row>
    <row r="62" spans="2:35" x14ac:dyDescent="0.25">
      <c r="B62" s="36" t="s">
        <v>182</v>
      </c>
      <c r="C62" t="s">
        <v>138</v>
      </c>
      <c r="D62" t="s">
        <v>721</v>
      </c>
      <c r="E62" t="s">
        <v>233</v>
      </c>
      <c r="F62" s="18" t="s">
        <v>107</v>
      </c>
      <c r="G62" s="239">
        <f>IF($B62="Residential",0,Inputs!$E$103)</f>
        <v>0</v>
      </c>
      <c r="H62" s="162">
        <f>Inputs!$E$98/12</f>
        <v>10</v>
      </c>
      <c r="I62" s="184">
        <f>INDEX(Inputs!$D$114:$D$125,MATCH(F62,Inputs!$C$114:$C$125,0))</f>
        <v>5.5409999999999994E-2</v>
      </c>
      <c r="J62" s="161">
        <f>Inputs!$E$100</f>
        <v>0.29464000000000001</v>
      </c>
      <c r="K62" s="139">
        <f>Inputs!$E$101</f>
        <v>2.8649999999999998E-2</v>
      </c>
      <c r="L62" s="791">
        <f>EES!$I$23</f>
        <v>3.0100000000000023E-3</v>
      </c>
      <c r="M62" s="190">
        <f t="shared" si="17"/>
        <v>0.32630000000000003</v>
      </c>
      <c r="N62" s="192" t="str">
        <f t="shared" si="0"/>
        <v>R1RESIDENTIAL</v>
      </c>
      <c r="O62" s="134">
        <f>SUMIFS(Sales!$E$7:$E$54,Sales!$B$7:$B$54,$F62,Sales!$C$7:$C$54,$N62)/SUMIFS(Sales!$E$7:$E$54,Sales!$C$7:$C$54,$N62)</f>
        <v>0.12125531729888978</v>
      </c>
      <c r="P62" s="120">
        <f>O62*(INDEX(Annual!$O$9:$O$22,MATCH($AC62,Annual!$AD$9:$AD$22,0)))</f>
        <v>771.18381802093893</v>
      </c>
      <c r="Q62" s="134">
        <f>INDEX(Inputs!$E$114:$E$125,MATCH(F62,Inputs!$C$114:$C$125,0))</f>
        <v>0.10459025798272056</v>
      </c>
      <c r="R62" s="840">
        <f>Q62*INDEX(Annual!$U$9:$U$22,MATCH(AC62,Annual!$AD$9:$AD$22,0))</f>
        <v>1335.5130041813588</v>
      </c>
      <c r="S62" s="164">
        <f t="shared" si="16"/>
        <v>435.77789326437744</v>
      </c>
      <c r="T62" s="165">
        <f>INDEX(Inputs!$F$114:$F$125,MATCH(F62,Inputs!$C$114:$C$125,0))</f>
        <v>3.9421813403416554E-3</v>
      </c>
      <c r="U62" s="264">
        <f>T62*IF(D62="HP prior to CVEO",INDEX(Annual!$P$9:$P$22,MATCH(AC62,Annual!$AD$9:$AD$22,0)),INDEX(Annual!$V$9:$V$22,MATCH(AC62,Annual!$AD$9:$AD$22,0)))</f>
        <v>28.561075652337145</v>
      </c>
      <c r="V62" s="222">
        <f>IF(E62="No",0,_xlfn.IFNA(INDEX(Inputs!$E$50:$E$53,MATCH("Events in "&amp;F62,Inputs!$C$50:$C$53,0)),0)*Inputs!$E$46*Inputs!$E$54)</f>
        <v>183.06</v>
      </c>
      <c r="W62" s="166">
        <f>V62*(1-Inputs!$E$48)</f>
        <v>18.305999999999997</v>
      </c>
      <c r="X62" s="120">
        <f t="shared" si="12"/>
        <v>818.05089367327616</v>
      </c>
      <c r="Y62" s="120">
        <f t="shared" si="13"/>
        <v>-517.46211050808267</v>
      </c>
      <c r="Z62" s="20">
        <f t="shared" si="14"/>
        <v>-18.672575543252858</v>
      </c>
      <c r="AA62" s="20">
        <f t="shared" si="7"/>
        <v>28.672575543252858</v>
      </c>
      <c r="AB62" s="21">
        <f t="shared" si="15"/>
        <v>0</v>
      </c>
      <c r="AC62" s="185" t="str">
        <f t="shared" si="8"/>
        <v>ResidentialElectricHP prior to CVEOYes</v>
      </c>
      <c r="AD62" t="s">
        <v>27</v>
      </c>
      <c r="AI62" s="58"/>
    </row>
    <row r="63" spans="2:35" x14ac:dyDescent="0.25">
      <c r="B63" s="36" t="s">
        <v>182</v>
      </c>
      <c r="C63" t="s">
        <v>138</v>
      </c>
      <c r="D63" t="s">
        <v>721</v>
      </c>
      <c r="E63" t="s">
        <v>233</v>
      </c>
      <c r="F63" s="18" t="s">
        <v>108</v>
      </c>
      <c r="G63" s="239">
        <f>IF($B63="Residential",0,Inputs!$E$103)</f>
        <v>0</v>
      </c>
      <c r="H63" s="162">
        <f>Inputs!$E$98/12</f>
        <v>10</v>
      </c>
      <c r="I63" s="184">
        <f>INDEX(Inputs!$D$114:$D$125,MATCH(F63,Inputs!$C$114:$C$125,0))</f>
        <v>5.1479999999999998E-2</v>
      </c>
      <c r="J63" s="161">
        <f>Inputs!$E$100</f>
        <v>0.29464000000000001</v>
      </c>
      <c r="K63" s="139">
        <f>Inputs!$E$101</f>
        <v>2.8649999999999998E-2</v>
      </c>
      <c r="L63" s="791">
        <f>EES!$I$23</f>
        <v>3.0100000000000023E-3</v>
      </c>
      <c r="M63" s="190">
        <f t="shared" si="17"/>
        <v>0.32630000000000003</v>
      </c>
      <c r="N63" s="192" t="str">
        <f t="shared" si="0"/>
        <v>R1RESIDENTIAL</v>
      </c>
      <c r="O63" s="134">
        <f>SUMIFS(Sales!$E$7:$E$54,Sales!$B$7:$B$54,$F63,Sales!$C$7:$C$54,$N63)/SUMIFS(Sales!$E$7:$E$54,Sales!$C$7:$C$54,$N63)</f>
        <v>0.14415817495028674</v>
      </c>
      <c r="P63" s="120">
        <f>O63*(INDEX(Annual!$O$9:$O$22,MATCH($AC63,Annual!$AD$9:$AD$22,0)))</f>
        <v>916.84599268382362</v>
      </c>
      <c r="Q63" s="134">
        <f>INDEX(Inputs!$E$114:$E$125,MATCH(F63,Inputs!$C$114:$C$125,0))</f>
        <v>9.9163535033348085E-2</v>
      </c>
      <c r="R63" s="840">
        <f>Q63*INDEX(Annual!$U$9:$U$22,MATCH(AC63,Annual!$AD$9:$AD$22,0))</f>
        <v>1266.2191788408218</v>
      </c>
      <c r="S63" s="164">
        <f t="shared" si="16"/>
        <v>413.16731805576018</v>
      </c>
      <c r="T63" s="165">
        <f>INDEX(Inputs!$F$114:$F$125,MATCH(F63,Inputs!$C$114:$C$125,0))</f>
        <v>5.5482552197401083E-3</v>
      </c>
      <c r="U63" s="264">
        <f>T63*IF(D63="HP prior to CVEO",INDEX(Annual!$P$9:$P$22,MATCH(AC63,Annual!$AD$9:$AD$22,0)),INDEX(Annual!$V$9:$V$22,MATCH(AC63,Annual!$AD$9:$AD$22,0)))</f>
        <v>40.197069436622655</v>
      </c>
      <c r="V63" s="222">
        <f>IF(E63="No",0,_xlfn.IFNA(INDEX(Inputs!$E$50:$E$53,MATCH("Events in "&amp;F63,Inputs!$C$50:$C$53,0)),0)*Inputs!$E$46*Inputs!$E$54)</f>
        <v>108.48</v>
      </c>
      <c r="W63" s="166">
        <f>V63*(1-Inputs!$E$48)</f>
        <v>10.847999999999997</v>
      </c>
      <c r="X63" s="120">
        <f t="shared" si="12"/>
        <v>967.89106212044624</v>
      </c>
      <c r="Y63" s="120">
        <f t="shared" si="13"/>
        <v>-298.32811672037553</v>
      </c>
      <c r="Z63" s="20">
        <f t="shared" si="14"/>
        <v>-5.3579314487649317</v>
      </c>
      <c r="AA63" s="20">
        <f t="shared" si="7"/>
        <v>15.357931448764932</v>
      </c>
      <c r="AB63" s="21">
        <f t="shared" si="15"/>
        <v>0</v>
      </c>
      <c r="AC63" s="185" t="str">
        <f t="shared" si="8"/>
        <v>ResidentialElectricHP prior to CVEOYes</v>
      </c>
      <c r="AD63" t="s">
        <v>27</v>
      </c>
      <c r="AI63" s="58"/>
    </row>
    <row r="64" spans="2:35" x14ac:dyDescent="0.25">
      <c r="B64" s="36" t="s">
        <v>182</v>
      </c>
      <c r="C64" t="s">
        <v>138</v>
      </c>
      <c r="D64" t="s">
        <v>721</v>
      </c>
      <c r="E64" t="s">
        <v>233</v>
      </c>
      <c r="F64" s="18" t="s">
        <v>109</v>
      </c>
      <c r="G64" s="239">
        <f>IF($B64="Residential",0,Inputs!$E$103)</f>
        <v>0</v>
      </c>
      <c r="H64" s="162">
        <f>Inputs!$E$98/12</f>
        <v>10</v>
      </c>
      <c r="I64" s="184">
        <f>INDEX(Inputs!$D$114:$D$125,MATCH(F64,Inputs!$C$114:$C$125,0))</f>
        <v>5.4880000000000005E-2</v>
      </c>
      <c r="J64" s="161">
        <f>Inputs!$E$100</f>
        <v>0.29464000000000001</v>
      </c>
      <c r="K64" s="139">
        <f>Inputs!$E$101</f>
        <v>2.8649999999999998E-2</v>
      </c>
      <c r="L64" s="791">
        <f>EES!$I$23</f>
        <v>3.0100000000000023E-3</v>
      </c>
      <c r="M64" s="190">
        <f t="shared" si="17"/>
        <v>0.32630000000000003</v>
      </c>
      <c r="N64" s="192" t="str">
        <f t="shared" si="0"/>
        <v>R1RESIDENTIAL</v>
      </c>
      <c r="O64" s="134">
        <f>SUMIFS(Sales!$E$7:$E$54,Sales!$B$7:$B$54,$F64,Sales!$C$7:$C$54,$N64)/SUMIFS(Sales!$E$7:$E$54,Sales!$C$7:$C$54,$N64)</f>
        <v>9.6628881563244493E-2</v>
      </c>
      <c r="P64" s="120">
        <f>O64*(INDEX(Annual!$O$9:$O$22,MATCH($AC64,Annual!$AD$9:$AD$22,0)))</f>
        <v>614.55968674223493</v>
      </c>
      <c r="Q64" s="134">
        <f>INDEX(Inputs!$E$114:$E$125,MATCH(F64,Inputs!$C$114:$C$125,0))</f>
        <v>9.3858976615798895E-2</v>
      </c>
      <c r="R64" s="840">
        <f>Q64*INDEX(Annual!$U$9:$U$22,MATCH(AC64,Annual!$AD$9:$AD$22,0))</f>
        <v>1198.4852724071361</v>
      </c>
      <c r="S64" s="164">
        <f t="shared" si="16"/>
        <v>391.06574438644856</v>
      </c>
      <c r="T64" s="165">
        <f>INDEX(Inputs!$F$114:$F$125,MATCH(F64,Inputs!$C$114:$C$125,0))</f>
        <v>1.9272886552781428E-2</v>
      </c>
      <c r="U64" s="264">
        <f>T64*IF(D64="HP prior to CVEO",INDEX(Annual!$P$9:$P$22,MATCH(AC64,Annual!$AD$9:$AD$22,0)),INDEX(Annual!$V$9:$V$22,MATCH(AC64,Annual!$AD$9:$AD$22,0)))</f>
        <v>139.63192541142604</v>
      </c>
      <c r="V64" s="222">
        <f>IF(E64="No",0,_xlfn.IFNA(INDEX(Inputs!$E$50:$E$53,MATCH("Events in "&amp;F64,Inputs!$C$50:$C$53,0)),0)*Inputs!$E$46*Inputs!$E$54)</f>
        <v>0</v>
      </c>
      <c r="W64" s="166">
        <f>V64*(1-Inputs!$E$48)</f>
        <v>0</v>
      </c>
      <c r="X64" s="120">
        <f t="shared" si="12"/>
        <v>754.19161215366103</v>
      </c>
      <c r="Y64" s="120">
        <f t="shared" si="13"/>
        <v>-444.29366025347508</v>
      </c>
      <c r="Z64" s="20">
        <f t="shared" si="14"/>
        <v>-14.382836074710713</v>
      </c>
      <c r="AA64" s="20">
        <f t="shared" si="7"/>
        <v>24.382836074710713</v>
      </c>
      <c r="AB64" s="21">
        <f t="shared" si="15"/>
        <v>0</v>
      </c>
      <c r="AC64" s="185" t="str">
        <f t="shared" si="8"/>
        <v>ResidentialElectricHP prior to CVEOYes</v>
      </c>
      <c r="AD64" t="s">
        <v>27</v>
      </c>
      <c r="AI64" s="58"/>
    </row>
    <row r="65" spans="2:35" x14ac:dyDescent="0.25">
      <c r="B65" s="36" t="s">
        <v>182</v>
      </c>
      <c r="C65" t="s">
        <v>138</v>
      </c>
      <c r="D65" t="s">
        <v>721</v>
      </c>
      <c r="E65" t="s">
        <v>233</v>
      </c>
      <c r="F65" s="18" t="s">
        <v>110</v>
      </c>
      <c r="G65" s="239">
        <f>IF($B65="Residential",0,Inputs!$E$103)</f>
        <v>0</v>
      </c>
      <c r="H65" s="162">
        <f>Inputs!$E$98/12</f>
        <v>10</v>
      </c>
      <c r="I65" s="184">
        <f>INDEX(Inputs!$D$114:$D$125,MATCH(F65,Inputs!$C$114:$C$125,0))</f>
        <v>5.9859999999999997E-2</v>
      </c>
      <c r="J65" s="161">
        <f>Inputs!$E$100</f>
        <v>0.29464000000000001</v>
      </c>
      <c r="K65" s="139">
        <f>Inputs!$E$101</f>
        <v>2.8649999999999998E-2</v>
      </c>
      <c r="L65" s="791">
        <f>EES!$I$23</f>
        <v>3.0100000000000023E-3</v>
      </c>
      <c r="M65" s="190">
        <f t="shared" si="17"/>
        <v>0.32630000000000003</v>
      </c>
      <c r="N65" s="192" t="str">
        <f t="shared" si="0"/>
        <v>R1RESIDENTIAL</v>
      </c>
      <c r="O65" s="134">
        <f>SUMIFS(Sales!$E$7:$E$54,Sales!$B$7:$B$54,$F65,Sales!$C$7:$C$54,$N65)/SUMIFS(Sales!$E$7:$E$54,Sales!$C$7:$C$54,$N65)</f>
        <v>7.00257602088772E-2</v>
      </c>
      <c r="P65" s="120">
        <f>O65*(INDEX(Annual!$O$9:$O$22,MATCH($AC65,Annual!$AD$9:$AD$22,0)))</f>
        <v>445.36383492845897</v>
      </c>
      <c r="Q65" s="134">
        <f>INDEX(Inputs!$E$114:$E$125,MATCH(F65,Inputs!$C$114:$C$125,0))</f>
        <v>7.6465910496739911E-2</v>
      </c>
      <c r="R65" s="840">
        <f>Q65*INDEX(Annual!$U$9:$U$22,MATCH(AC65,Annual!$AD$9:$AD$22,0))</f>
        <v>976.3932111328719</v>
      </c>
      <c r="S65" s="164">
        <f t="shared" si="16"/>
        <v>318.59710479265613</v>
      </c>
      <c r="T65" s="165">
        <f>INDEX(Inputs!$F$114:$F$125,MATCH(F65,Inputs!$C$114:$C$125,0))</f>
        <v>4.0589867133888159E-2</v>
      </c>
      <c r="U65" s="264">
        <f>T65*IF(D65="HP prior to CVEO",INDEX(Annual!$P$9:$P$22,MATCH(AC65,Annual!$AD$9:$AD$22,0)),INDEX(Annual!$V$9:$V$22,MATCH(AC65,Annual!$AD$9:$AD$22,0)))</f>
        <v>294.0732974573973</v>
      </c>
      <c r="V65" s="222">
        <f>IF(E65="No",0,_xlfn.IFNA(INDEX(Inputs!$E$50:$E$53,MATCH("Events in "&amp;F65,Inputs!$C$50:$C$53,0)),0)*Inputs!$E$46*Inputs!$E$54)</f>
        <v>0</v>
      </c>
      <c r="W65" s="166">
        <f>V65*(1-Inputs!$E$48)</f>
        <v>0</v>
      </c>
      <c r="X65" s="120">
        <f t="shared" si="12"/>
        <v>739.43713238585633</v>
      </c>
      <c r="Y65" s="120">
        <f t="shared" si="13"/>
        <v>-236.95607874701557</v>
      </c>
      <c r="Z65" s="20">
        <f t="shared" si="14"/>
        <v>-4.1841908737963518</v>
      </c>
      <c r="AA65" s="20">
        <f t="shared" si="7"/>
        <v>14.184190873796352</v>
      </c>
      <c r="AB65" s="21">
        <f t="shared" si="15"/>
        <v>0</v>
      </c>
      <c r="AC65" s="185" t="str">
        <f t="shared" si="8"/>
        <v>ResidentialElectricHP prior to CVEOYes</v>
      </c>
      <c r="AD65" t="s">
        <v>27</v>
      </c>
      <c r="AI65" s="58"/>
    </row>
    <row r="66" spans="2:35" x14ac:dyDescent="0.25">
      <c r="B66" s="36" t="s">
        <v>182</v>
      </c>
      <c r="C66" t="s">
        <v>138</v>
      </c>
      <c r="D66" t="s">
        <v>721</v>
      </c>
      <c r="E66" t="s">
        <v>233</v>
      </c>
      <c r="F66" s="18" t="s">
        <v>111</v>
      </c>
      <c r="G66" s="239">
        <f>IF($B66="Residential",0,Inputs!$E$103)</f>
        <v>0</v>
      </c>
      <c r="H66" s="162">
        <f>Inputs!$E$98/12</f>
        <v>10</v>
      </c>
      <c r="I66" s="184">
        <f>INDEX(Inputs!$D$114:$D$125,MATCH(F66,Inputs!$C$114:$C$125,0))</f>
        <v>0.10368000000000001</v>
      </c>
      <c r="J66" s="161">
        <f>Inputs!$E$100</f>
        <v>0.29464000000000001</v>
      </c>
      <c r="K66" s="139">
        <f>Inputs!$E$101</f>
        <v>2.8649999999999998E-2</v>
      </c>
      <c r="L66" s="791">
        <f>EES!$I$23</f>
        <v>3.0100000000000023E-3</v>
      </c>
      <c r="M66" s="190">
        <f t="shared" si="17"/>
        <v>0.32630000000000003</v>
      </c>
      <c r="N66" s="192" t="str">
        <f t="shared" si="0"/>
        <v>R1RESIDENTIAL</v>
      </c>
      <c r="O66" s="134">
        <f>SUMIFS(Sales!$E$7:$E$54,Sales!$B$7:$B$54,$F66,Sales!$C$7:$C$54,$N66)/SUMIFS(Sales!$E$7:$E$54,Sales!$C$7:$C$54,$N66)</f>
        <v>5.5795384714951879E-2</v>
      </c>
      <c r="P66" s="120">
        <f>O66*(INDEX(Annual!$O$9:$O$22,MATCH($AC66,Annual!$AD$9:$AD$22,0)))</f>
        <v>354.85864678709396</v>
      </c>
      <c r="Q66" s="134">
        <f>INDEX(Inputs!$E$114:$E$125,MATCH(F66,Inputs!$C$114:$C$125,0))</f>
        <v>5.8509626541612472E-2</v>
      </c>
      <c r="R66" s="840">
        <f>Q66*INDEX(Annual!$U$9:$U$22,MATCH(AC66,Annual!$AD$9:$AD$22,0))</f>
        <v>747.10942130984961</v>
      </c>
      <c r="S66" s="164">
        <f t="shared" si="16"/>
        <v>243.78180417340394</v>
      </c>
      <c r="T66" s="165">
        <f>INDEX(Inputs!$F$114:$F$125,MATCH(F66,Inputs!$C$114:$C$125,0))</f>
        <v>0.10643889618922471</v>
      </c>
      <c r="U66" s="264">
        <f>T66*IF(D66="HP prior to CVEO",INDEX(Annual!$P$9:$P$22,MATCH(AC66,Annual!$AD$9:$AD$22,0)),INDEX(Annual!$V$9:$V$22,MATCH(AC66,Annual!$AD$9:$AD$22,0)))</f>
        <v>771.14904261310301</v>
      </c>
      <c r="V66" s="222">
        <f>IF(E66="No",0,_xlfn.IFNA(INDEX(Inputs!$E$50:$E$53,MATCH("Events in "&amp;F66,Inputs!$C$50:$C$53,0)),0)*Inputs!$E$46*Inputs!$E$54)</f>
        <v>0</v>
      </c>
      <c r="W66" s="166">
        <f>V66*(1-Inputs!$E$48)</f>
        <v>0</v>
      </c>
      <c r="X66" s="120">
        <f t="shared" si="12"/>
        <v>1126.007689400197</v>
      </c>
      <c r="Y66" s="120">
        <f t="shared" si="13"/>
        <v>378.89826809034741</v>
      </c>
      <c r="Z66" s="20">
        <f t="shared" si="14"/>
        <v>133.63450487788037</v>
      </c>
      <c r="AA66" s="20">
        <f t="shared" si="7"/>
        <v>0</v>
      </c>
      <c r="AB66" s="21">
        <f t="shared" si="15"/>
        <v>0</v>
      </c>
      <c r="AC66" s="185" t="str">
        <f t="shared" si="8"/>
        <v>ResidentialElectricHP prior to CVEOYes</v>
      </c>
      <c r="AD66" t="s">
        <v>27</v>
      </c>
      <c r="AI66" s="58"/>
    </row>
    <row r="67" spans="2:35" x14ac:dyDescent="0.25">
      <c r="B67" s="36" t="s">
        <v>182</v>
      </c>
      <c r="C67" t="s">
        <v>138</v>
      </c>
      <c r="D67" t="s">
        <v>721</v>
      </c>
      <c r="E67" t="s">
        <v>233</v>
      </c>
      <c r="F67" s="18" t="s">
        <v>112</v>
      </c>
      <c r="G67" s="239">
        <f>IF($B67="Residential",0,Inputs!$E$103)</f>
        <v>0</v>
      </c>
      <c r="H67" s="162">
        <f>Inputs!$E$98/12</f>
        <v>10</v>
      </c>
      <c r="I67" s="184">
        <f>INDEX(Inputs!$D$114:$D$125,MATCH(F67,Inputs!$C$114:$C$125,0))</f>
        <v>7.7920000000000003E-2</v>
      </c>
      <c r="J67" s="161">
        <f>Inputs!$E$100</f>
        <v>0.29464000000000001</v>
      </c>
      <c r="K67" s="139">
        <f>Inputs!$E$101</f>
        <v>2.8649999999999998E-2</v>
      </c>
      <c r="L67" s="791">
        <f>EES!$I$23</f>
        <v>3.0100000000000023E-3</v>
      </c>
      <c r="M67" s="190">
        <f t="shared" si="17"/>
        <v>0.32630000000000003</v>
      </c>
      <c r="N67" s="192" t="str">
        <f t="shared" si="0"/>
        <v>R1RESIDENTIAL</v>
      </c>
      <c r="O67" s="134">
        <f>SUMIFS(Sales!$E$7:$E$54,Sales!$B$7:$B$54,$F67,Sales!$C$7:$C$54,$N67)/SUMIFS(Sales!$E$7:$E$54,Sales!$C$7:$C$54,$N67)</f>
        <v>8.2806921863112365E-2</v>
      </c>
      <c r="P67" s="120">
        <f>O67*(INDEX(Annual!$O$9:$O$22,MATCH($AC67,Annual!$AD$9:$AD$22,0)))</f>
        <v>526.65202304939464</v>
      </c>
      <c r="Q67" s="134">
        <f>INDEX(Inputs!$E$114:$E$125,MATCH(F67,Inputs!$C$114:$C$125,0))</f>
        <v>4.8504549439315578E-2</v>
      </c>
      <c r="R67" s="840">
        <f>Q67*INDEX(Annual!$U$9:$U$22,MATCH(AC67,Annual!$AD$9:$AD$22,0))</f>
        <v>619.35459179062059</v>
      </c>
      <c r="S67" s="164">
        <f t="shared" si="16"/>
        <v>202.09540330127953</v>
      </c>
      <c r="T67" s="165">
        <f>INDEX(Inputs!$F$114:$F$125,MATCH(F67,Inputs!$C$114:$C$125,0))</f>
        <v>0.15389107898963353</v>
      </c>
      <c r="U67" s="264">
        <f>T67*IF(D67="HP prior to CVEO",INDEX(Annual!$P$9:$P$22,MATCH(AC67,Annual!$AD$9:$AD$22,0)),INDEX(Annual!$V$9:$V$22,MATCH(AC67,Annual!$AD$9:$AD$22,0)))</f>
        <v>1114.939768057902</v>
      </c>
      <c r="V67" s="222">
        <f>IF(E67="No",0,_xlfn.IFNA(INDEX(Inputs!$E$50:$E$53,MATCH("Events in "&amp;F67,Inputs!$C$50:$C$53,0)),0)*Inputs!$E$46*Inputs!$E$54)</f>
        <v>0</v>
      </c>
      <c r="W67" s="166">
        <f>V67*(1-Inputs!$E$48)</f>
        <v>0</v>
      </c>
      <c r="X67" s="120">
        <f t="shared" si="12"/>
        <v>1641.5917911072966</v>
      </c>
      <c r="Y67" s="120">
        <f t="shared" si="13"/>
        <v>1022.237199316676</v>
      </c>
      <c r="Z67" s="20">
        <f t="shared" si="14"/>
        <v>343.55599813703139</v>
      </c>
      <c r="AA67" s="20">
        <f t="shared" si="7"/>
        <v>0</v>
      </c>
      <c r="AB67" s="21">
        <f t="shared" si="15"/>
        <v>0</v>
      </c>
      <c r="AC67" s="185" t="str">
        <f t="shared" si="8"/>
        <v>ResidentialElectricHP prior to CVEOYes</v>
      </c>
      <c r="AD67" t="s">
        <v>27</v>
      </c>
      <c r="AI67" s="58"/>
    </row>
    <row r="68" spans="2:35" x14ac:dyDescent="0.25">
      <c r="B68" s="36" t="s">
        <v>117</v>
      </c>
      <c r="C68" t="s">
        <v>130</v>
      </c>
      <c r="D68" t="s">
        <v>131</v>
      </c>
      <c r="E68" t="s">
        <v>234</v>
      </c>
      <c r="F68" s="18" t="s">
        <v>101</v>
      </c>
      <c r="G68" s="239">
        <f>IF($B68="Residential",0,Inputs!$E$103)</f>
        <v>0.42</v>
      </c>
      <c r="H68" s="162">
        <f>Inputs!$E$98/12</f>
        <v>10</v>
      </c>
      <c r="I68" s="184">
        <f>INDEX(Inputs!$D$114:$D$125,MATCH(F68,Inputs!$C$114:$C$125,0))</f>
        <v>4.6359999999999998E-2</v>
      </c>
      <c r="J68" s="161">
        <f>Inputs!$E$100</f>
        <v>0.29464000000000001</v>
      </c>
      <c r="K68" s="139">
        <f>Inputs!$E$101</f>
        <v>2.8649999999999998E-2</v>
      </c>
      <c r="L68" s="791">
        <f>EES!$I$23</f>
        <v>3.0100000000000023E-3</v>
      </c>
      <c r="M68" s="190">
        <f t="shared" ref="M68:M175" si="18">SUM(J68:L68)</f>
        <v>0.32630000000000003</v>
      </c>
      <c r="N68" s="192" t="str">
        <f t="shared" ref="N68:N175" si="19">IF($B68="Residential","R1RESIDENTIAL","R2RESASST")</f>
        <v>R2RESASST</v>
      </c>
      <c r="O68" s="134">
        <f>SUMIFS(Sales!$E$7:$E$54,Sales!$B$7:$B$54,$F68,Sales!$C$7:$C$54,$N68)/SUMIFS(Sales!$E$7:$E$54,Sales!$C$7:$C$54,$N68)</f>
        <v>9.2016295941963519E-2</v>
      </c>
      <c r="P68" s="120">
        <f>O68*(INDEX(Annual!$O$9:$O$22,MATCH($AC68,Annual!$AD$9:$AD$22,0)))</f>
        <v>524.49288686919203</v>
      </c>
      <c r="Q68" s="134">
        <f>INDEX(Inputs!$E$114:$E$125,MATCH(F68,Inputs!$C$114:$C$125,0))</f>
        <v>5.9304226053352373E-2</v>
      </c>
      <c r="R68" s="840">
        <f>Q68*INDEX(Annual!$U$9:$U$22,MATCH(AC68,Annual!$AD$9:$AD$22,0))</f>
        <v>278.72986245075617</v>
      </c>
      <c r="S68" s="164">
        <f t="shared" si="16"/>
        <v>52.75074138825542</v>
      </c>
      <c r="T68" s="165">
        <f>INDEX(Inputs!$F$114:$F$125,MATCH(F68,Inputs!$C$114:$C$125,0))</f>
        <v>0.16338151554971528</v>
      </c>
      <c r="U68" s="264">
        <f>T68*IF(D68="HP prior to CVEO",INDEX(Annual!$P$9:$P$22,MATCH(AC68,Annual!$AD$9:$AD$22,0)),INDEX(Annual!$V$9:$V$22,MATCH(AC68,Annual!$AD$9:$AD$22,0)))</f>
        <v>863.86614834282375</v>
      </c>
      <c r="V68" s="222">
        <f>IF(E68="No",0,_xlfn.IFNA(INDEX(Inputs!$E$50:$E$53,MATCH("Events in "&amp;F68,Inputs!$C$50:$C$53,0)),0)*Inputs!$E$46*Inputs!$E$54)</f>
        <v>0</v>
      </c>
      <c r="W68" s="166">
        <f>V68*(1-Inputs!$E$48)</f>
        <v>0</v>
      </c>
      <c r="X68" s="120">
        <f t="shared" si="12"/>
        <v>1388.3590352120159</v>
      </c>
      <c r="Y68" s="120">
        <f t="shared" si="13"/>
        <v>1109.6291727612597</v>
      </c>
      <c r="Z68" s="20">
        <f t="shared" si="14"/>
        <v>215.8017594617595</v>
      </c>
      <c r="AA68" s="20">
        <f t="shared" ref="AA68:AA175" si="20">IF(Y68&gt;0,0,-Y68*$I68)</f>
        <v>0</v>
      </c>
      <c r="AB68" s="21">
        <f t="shared" si="15"/>
        <v>372.07199907199907</v>
      </c>
      <c r="AC68" s="185" t="str">
        <f t="shared" si="8"/>
        <v>Income EligibleOilDuctlessNo</v>
      </c>
      <c r="AD68" t="s">
        <v>27</v>
      </c>
      <c r="AI68" s="58"/>
    </row>
    <row r="69" spans="2:35" x14ac:dyDescent="0.25">
      <c r="B69" s="36" t="s">
        <v>117</v>
      </c>
      <c r="C69" t="s">
        <v>130</v>
      </c>
      <c r="D69" t="s">
        <v>131</v>
      </c>
      <c r="E69" t="s">
        <v>234</v>
      </c>
      <c r="F69" s="18" t="s">
        <v>102</v>
      </c>
      <c r="G69" s="239">
        <f>IF($B69="Residential",0,Inputs!$E$103)</f>
        <v>0.42</v>
      </c>
      <c r="H69" s="162">
        <f>Inputs!$E$98/12</f>
        <v>10</v>
      </c>
      <c r="I69" s="184">
        <f>INDEX(Inputs!$D$114:$D$125,MATCH(F69,Inputs!$C$114:$C$125,0))</f>
        <v>3.5580000000000001E-2</v>
      </c>
      <c r="J69" s="161">
        <f>Inputs!$E$100</f>
        <v>0.29464000000000001</v>
      </c>
      <c r="K69" s="139">
        <f>Inputs!$E$101</f>
        <v>2.8649999999999998E-2</v>
      </c>
      <c r="L69" s="791">
        <f>EES!$I$23</f>
        <v>3.0100000000000023E-3</v>
      </c>
      <c r="M69" s="190">
        <f t="shared" si="18"/>
        <v>0.32630000000000003</v>
      </c>
      <c r="N69" s="192" t="str">
        <f t="shared" si="19"/>
        <v>R2RESASST</v>
      </c>
      <c r="O69" s="134">
        <f>SUMIFS(Sales!$E$7:$E$54,Sales!$B$7:$B$54,$F69,Sales!$C$7:$C$54,$N69)/SUMIFS(Sales!$E$7:$E$54,Sales!$C$7:$C$54,$N69)</f>
        <v>8.696932108954479E-2</v>
      </c>
      <c r="P69" s="120">
        <f>O69*(INDEX(Annual!$O$9:$O$22,MATCH($AC69,Annual!$AD$9:$AD$22,0)))</f>
        <v>495.72513021040533</v>
      </c>
      <c r="Q69" s="134">
        <f>INDEX(Inputs!$E$114:$E$125,MATCH(F69,Inputs!$C$114:$C$125,0))</f>
        <v>7.056160122921061E-2</v>
      </c>
      <c r="R69" s="840">
        <f>Q69*INDEX(Annual!$U$9:$U$22,MATCH(AC69,Annual!$AD$9:$AD$22,0))</f>
        <v>331.63952577728986</v>
      </c>
      <c r="S69" s="164">
        <f t="shared" si="16"/>
        <v>62.764106811455235</v>
      </c>
      <c r="T69" s="165">
        <f>INDEX(Inputs!$F$114:$F$125,MATCH(F69,Inputs!$C$114:$C$125,0))</f>
        <v>0.2087896043217988</v>
      </c>
      <c r="U69" s="264">
        <f>T69*IF(D69="HP prior to CVEO",INDEX(Annual!$P$9:$P$22,MATCH(AC69,Annual!$AD$9:$AD$22,0)),INDEX(Annual!$V$9:$V$22,MATCH(AC69,Annual!$AD$9:$AD$22,0)))</f>
        <v>1103.9576337178178</v>
      </c>
      <c r="V69" s="222">
        <f>IF(E69="No",0,_xlfn.IFNA(INDEX(Inputs!$E$50:$E$53,MATCH("Events in "&amp;F69,Inputs!$C$50:$C$53,0)),0)*Inputs!$E$46*Inputs!$E$54)</f>
        <v>0</v>
      </c>
      <c r="W69" s="166">
        <f>V69*(1-Inputs!$E$48)</f>
        <v>0</v>
      </c>
      <c r="X69" s="120">
        <f t="shared" si="12"/>
        <v>1599.682763928223</v>
      </c>
      <c r="Y69" s="120">
        <f t="shared" si="13"/>
        <v>1268.0432381509331</v>
      </c>
      <c r="Z69" s="20">
        <f t="shared" si="14"/>
        <v>245.78225499301675</v>
      </c>
      <c r="AA69" s="20">
        <f t="shared" si="20"/>
        <v>0</v>
      </c>
      <c r="AB69" s="21">
        <f t="shared" si="15"/>
        <v>423.76250860864951</v>
      </c>
      <c r="AC69" s="185" t="str">
        <f t="shared" si="8"/>
        <v>Income EligibleOilDuctlessNo</v>
      </c>
      <c r="AD69" t="s">
        <v>27</v>
      </c>
      <c r="AI69" s="58"/>
    </row>
    <row r="70" spans="2:35" x14ac:dyDescent="0.25">
      <c r="B70" s="36" t="s">
        <v>117</v>
      </c>
      <c r="C70" t="s">
        <v>130</v>
      </c>
      <c r="D70" t="s">
        <v>131</v>
      </c>
      <c r="E70" t="s">
        <v>234</v>
      </c>
      <c r="F70" s="18" t="s">
        <v>103</v>
      </c>
      <c r="G70" s="239">
        <f>IF($B70="Residential",0,Inputs!$E$103)</f>
        <v>0.42</v>
      </c>
      <c r="H70" s="162">
        <f>Inputs!$E$98/12</f>
        <v>10</v>
      </c>
      <c r="I70" s="184">
        <f>INDEX(Inputs!$D$114:$D$125,MATCH(F70,Inputs!$C$114:$C$125,0))</f>
        <v>3.8429999999999999E-2</v>
      </c>
      <c r="J70" s="161">
        <f>Inputs!$E$100</f>
        <v>0.29464000000000001</v>
      </c>
      <c r="K70" s="139">
        <f>Inputs!$E$101</f>
        <v>2.8649999999999998E-2</v>
      </c>
      <c r="L70" s="791">
        <f>EES!$I$23</f>
        <v>3.0100000000000023E-3</v>
      </c>
      <c r="M70" s="190">
        <f t="shared" si="18"/>
        <v>0.32630000000000003</v>
      </c>
      <c r="N70" s="192" t="str">
        <f t="shared" si="19"/>
        <v>R2RESASST</v>
      </c>
      <c r="O70" s="134">
        <f>SUMIFS(Sales!$E$7:$E$54,Sales!$B$7:$B$54,$F70,Sales!$C$7:$C$54,$N70)/SUMIFS(Sales!$E$7:$E$54,Sales!$C$7:$C$54,$N70)</f>
        <v>8.0952699753921803E-2</v>
      </c>
      <c r="P70" s="120">
        <f>O70*(INDEX(Annual!$O$9:$O$22,MATCH($AC70,Annual!$AD$9:$AD$22,0)))</f>
        <v>461.43038859735429</v>
      </c>
      <c r="Q70" s="134">
        <f>INDEX(Inputs!$E$114:$E$125,MATCH(F70,Inputs!$C$114:$C$125,0))</f>
        <v>9.1691796536674613E-2</v>
      </c>
      <c r="R70" s="840">
        <f>Q70*INDEX(Annual!$U$9:$U$22,MATCH(AC70,Annual!$AD$9:$AD$22,0))</f>
        <v>430.9514437223707</v>
      </c>
      <c r="S70" s="164">
        <f t="shared" si="16"/>
        <v>81.559284530233569</v>
      </c>
      <c r="T70" s="165">
        <f>INDEX(Inputs!$F$114:$F$125,MATCH(F70,Inputs!$C$114:$C$125,0))</f>
        <v>0.14002044094028326</v>
      </c>
      <c r="U70" s="264">
        <f>T70*IF(D70="HP prior to CVEO",INDEX(Annual!$P$9:$P$22,MATCH(AC70,Annual!$AD$9:$AD$22,0)),INDEX(Annual!$V$9:$V$22,MATCH(AC70,Annual!$AD$9:$AD$22,0)))</f>
        <v>740.34641310166944</v>
      </c>
      <c r="V70" s="222">
        <f>IF(E70="No",0,_xlfn.IFNA(INDEX(Inputs!$E$50:$E$53,MATCH("Events in "&amp;F70,Inputs!$C$50:$C$53,0)),0)*Inputs!$E$46*Inputs!$E$54)</f>
        <v>0</v>
      </c>
      <c r="W70" s="166">
        <f>V70*(1-Inputs!$E$48)</f>
        <v>0</v>
      </c>
      <c r="X70" s="120">
        <f t="shared" si="12"/>
        <v>1201.7768016990237</v>
      </c>
      <c r="Y70" s="120">
        <f t="shared" si="13"/>
        <v>770.82535797665309</v>
      </c>
      <c r="Z70" s="20">
        <f t="shared" si="14"/>
        <v>151.68178229851355</v>
      </c>
      <c r="AA70" s="20">
        <f t="shared" si="20"/>
        <v>0</v>
      </c>
      <c r="AB70" s="21">
        <f t="shared" si="15"/>
        <v>261.52031430778197</v>
      </c>
      <c r="AC70" s="185" t="str">
        <f t="shared" si="8"/>
        <v>Income EligibleOilDuctlessNo</v>
      </c>
      <c r="AD70" t="s">
        <v>27</v>
      </c>
      <c r="AI70" s="58"/>
    </row>
    <row r="71" spans="2:35" x14ac:dyDescent="0.25">
      <c r="B71" s="36" t="s">
        <v>117</v>
      </c>
      <c r="C71" t="s">
        <v>130</v>
      </c>
      <c r="D71" t="s">
        <v>131</v>
      </c>
      <c r="E71" t="s">
        <v>234</v>
      </c>
      <c r="F71" s="18" t="s">
        <v>104</v>
      </c>
      <c r="G71" s="239">
        <f>IF($B71="Residential",0,Inputs!$E$103)</f>
        <v>0.42</v>
      </c>
      <c r="H71" s="162">
        <f>Inputs!$E$98/12</f>
        <v>10</v>
      </c>
      <c r="I71" s="184">
        <f>INDEX(Inputs!$D$114:$D$125,MATCH(F71,Inputs!$C$114:$C$125,0))</f>
        <v>3.9399999999999998E-2</v>
      </c>
      <c r="J71" s="161">
        <f>Inputs!$E$100</f>
        <v>0.29464000000000001</v>
      </c>
      <c r="K71" s="139">
        <f>Inputs!$E$101</f>
        <v>2.8649999999999998E-2</v>
      </c>
      <c r="L71" s="791">
        <f>EES!$I$23</f>
        <v>3.0100000000000023E-3</v>
      </c>
      <c r="M71" s="190">
        <f t="shared" si="18"/>
        <v>0.32630000000000003</v>
      </c>
      <c r="N71" s="192" t="str">
        <f t="shared" si="19"/>
        <v>R2RESASST</v>
      </c>
      <c r="O71" s="134">
        <f>SUMIFS(Sales!$E$7:$E$54,Sales!$B$7:$B$54,$F71,Sales!$C$7:$C$54,$N71)/SUMIFS(Sales!$E$7:$E$54,Sales!$C$7:$C$54,$N71)</f>
        <v>7.557098328361167E-2</v>
      </c>
      <c r="P71" s="120">
        <f>O71*(INDEX(Annual!$O$9:$O$22,MATCH($AC71,Annual!$AD$9:$AD$22,0)))</f>
        <v>430.75460471658653</v>
      </c>
      <c r="Q71" s="134">
        <f>INDEX(Inputs!$E$114:$E$125,MATCH(F71,Inputs!$C$114:$C$125,0))</f>
        <v>9.5902218316044743E-2</v>
      </c>
      <c r="R71" s="840">
        <f>Q71*INDEX(Annual!$U$9:$U$22,MATCH(AC71,Annual!$AD$9:$AD$22,0))</f>
        <v>450.74042608541032</v>
      </c>
      <c r="S71" s="164">
        <f t="shared" si="16"/>
        <v>85.304428598368276</v>
      </c>
      <c r="T71" s="165">
        <f>INDEX(Inputs!$F$114:$F$125,MATCH(F71,Inputs!$C$114:$C$125,0))</f>
        <v>8.1909767849321066E-2</v>
      </c>
      <c r="U71" s="264">
        <f>T71*IF(D71="HP prior to CVEO",INDEX(Annual!$P$9:$P$22,MATCH(AC71,Annual!$AD$9:$AD$22,0)),INDEX(Annual!$V$9:$V$22,MATCH(AC71,Annual!$AD$9:$AD$22,0)))</f>
        <v>433.09107168929773</v>
      </c>
      <c r="V71" s="222">
        <f>IF(E71="No",0,_xlfn.IFNA(INDEX(Inputs!$E$50:$E$53,MATCH("Events in "&amp;F71,Inputs!$C$50:$C$53,0)),0)*Inputs!$E$46*Inputs!$E$54)</f>
        <v>0</v>
      </c>
      <c r="W71" s="166">
        <f>V71*(1-Inputs!$E$48)</f>
        <v>0</v>
      </c>
      <c r="X71" s="120">
        <f t="shared" si="12"/>
        <v>863.84567640588421</v>
      </c>
      <c r="Y71" s="120">
        <f t="shared" si="13"/>
        <v>413.10525032047389</v>
      </c>
      <c r="Z71" s="20">
        <f t="shared" si="14"/>
        <v>83.981821044150976</v>
      </c>
      <c r="AA71" s="20">
        <f t="shared" si="20"/>
        <v>0</v>
      </c>
      <c r="AB71" s="21">
        <f t="shared" si="15"/>
        <v>144.79624317957064</v>
      </c>
      <c r="AC71" s="185" t="str">
        <f t="shared" si="8"/>
        <v>Income EligibleOilDuctlessNo</v>
      </c>
      <c r="AD71" t="s">
        <v>27</v>
      </c>
      <c r="AI71" s="58"/>
    </row>
    <row r="72" spans="2:35" x14ac:dyDescent="0.25">
      <c r="B72" s="36" t="s">
        <v>117</v>
      </c>
      <c r="C72" t="s">
        <v>130</v>
      </c>
      <c r="D72" t="s">
        <v>131</v>
      </c>
      <c r="E72" t="s">
        <v>234</v>
      </c>
      <c r="F72" s="18" t="s">
        <v>105</v>
      </c>
      <c r="G72" s="239">
        <f>IF($B72="Residential",0,Inputs!$E$103)</f>
        <v>0.42</v>
      </c>
      <c r="H72" s="162">
        <f>Inputs!$E$98/12</f>
        <v>10</v>
      </c>
      <c r="I72" s="184">
        <f>INDEX(Inputs!$D$114:$D$125,MATCH(F72,Inputs!$C$114:$C$125,0))</f>
        <v>4.827E-2</v>
      </c>
      <c r="J72" s="161">
        <f>Inputs!$E$100</f>
        <v>0.29464000000000001</v>
      </c>
      <c r="K72" s="139">
        <f>Inputs!$E$101</f>
        <v>2.8649999999999998E-2</v>
      </c>
      <c r="L72" s="791">
        <f>EES!$I$23</f>
        <v>3.0100000000000023E-3</v>
      </c>
      <c r="M72" s="190">
        <f t="shared" si="18"/>
        <v>0.32630000000000003</v>
      </c>
      <c r="N72" s="192" t="str">
        <f t="shared" si="19"/>
        <v>R2RESASST</v>
      </c>
      <c r="O72" s="134">
        <f>SUMIFS(Sales!$E$7:$E$54,Sales!$B$7:$B$54,$F72,Sales!$C$7:$C$54,$N72)/SUMIFS(Sales!$E$7:$E$54,Sales!$C$7:$C$54,$N72)</f>
        <v>6.7854031841022025E-2</v>
      </c>
      <c r="P72" s="120">
        <f>O72*(INDEX(Annual!$O$9:$O$22,MATCH($AC72,Annual!$AD$9:$AD$22,0)))</f>
        <v>386.76798149382552</v>
      </c>
      <c r="Q72" s="134">
        <f>INDEX(Inputs!$E$114:$E$125,MATCH(F72,Inputs!$C$114:$C$125,0))</f>
        <v>0.10405019139401983</v>
      </c>
      <c r="R72" s="840">
        <f>Q72*INDEX(Annual!$U$9:$U$22,MATCH(AC72,Annual!$AD$9:$AD$22,0))</f>
        <v>489.03589955189318</v>
      </c>
      <c r="S72" s="164">
        <f t="shared" si="16"/>
        <v>92.55200013379401</v>
      </c>
      <c r="T72" s="165">
        <f>INDEX(Inputs!$F$114:$F$125,MATCH(F72,Inputs!$C$114:$C$125,0))</f>
        <v>5.577456563001898E-2</v>
      </c>
      <c r="U72" s="264">
        <f>T72*IF(D72="HP prior to CVEO",INDEX(Annual!$P$9:$P$22,MATCH(AC72,Annual!$AD$9:$AD$22,0)),INDEX(Annual!$V$9:$V$22,MATCH(AC72,Annual!$AD$9:$AD$22,0)))</f>
        <v>294.90336788825618</v>
      </c>
      <c r="V72" s="222">
        <f>IF(E72="No",0,_xlfn.IFNA(INDEX(Inputs!$E$50:$E$53,MATCH("Events in "&amp;F72,Inputs!$C$50:$C$53,0)),0)*Inputs!$E$46*Inputs!$E$54)</f>
        <v>0</v>
      </c>
      <c r="W72" s="166">
        <f>V72*(1-Inputs!$E$48)</f>
        <v>0</v>
      </c>
      <c r="X72" s="120">
        <f t="shared" ref="X72:X103" si="21">P72+U72+W72</f>
        <v>681.67134938208164</v>
      </c>
      <c r="Y72" s="120">
        <f t="shared" ref="Y72:Y103" si="22">X72-R72</f>
        <v>192.63544983018846</v>
      </c>
      <c r="Z72" s="20">
        <f t="shared" ref="Z72:Z103" si="23">IF(Y72&lt;0,(Y72*I72)+(H72*(1-G72)),((Y72*M72)+H72)*(1-G72))</f>
        <v>42.257029422162496</v>
      </c>
      <c r="AA72" s="20">
        <f t="shared" si="20"/>
        <v>0</v>
      </c>
      <c r="AB72" s="21">
        <f t="shared" ref="AB72:AB103" si="24">IF($B72="Income Eligible",IF(Y72&lt;0,(Y72*I72)+H72,((Y72*M72)+H72)),0)</f>
        <v>72.8569472795905</v>
      </c>
      <c r="AC72" s="185" t="str">
        <f t="shared" si="8"/>
        <v>Income EligibleOilDuctlessNo</v>
      </c>
      <c r="AD72" t="s">
        <v>27</v>
      </c>
      <c r="AI72" s="58"/>
    </row>
    <row r="73" spans="2:35" x14ac:dyDescent="0.25">
      <c r="B73" s="36" t="s">
        <v>117</v>
      </c>
      <c r="C73" t="s">
        <v>130</v>
      </c>
      <c r="D73" t="s">
        <v>131</v>
      </c>
      <c r="E73" t="s">
        <v>234</v>
      </c>
      <c r="F73" s="18" t="s">
        <v>106</v>
      </c>
      <c r="G73" s="239">
        <f>IF($B73="Residential",0,Inputs!$E$103)</f>
        <v>0.42</v>
      </c>
      <c r="H73" s="162">
        <f>Inputs!$E$98/12</f>
        <v>10</v>
      </c>
      <c r="I73" s="184">
        <f>INDEX(Inputs!$D$114:$D$125,MATCH(F73,Inputs!$C$114:$C$125,0))</f>
        <v>5.8689999999999999E-2</v>
      </c>
      <c r="J73" s="161">
        <f>Inputs!$E$100</f>
        <v>0.29464000000000001</v>
      </c>
      <c r="K73" s="139">
        <f>Inputs!$E$101</f>
        <v>2.8649999999999998E-2</v>
      </c>
      <c r="L73" s="791">
        <f>EES!$I$23</f>
        <v>3.0100000000000023E-3</v>
      </c>
      <c r="M73" s="190">
        <f t="shared" si="18"/>
        <v>0.32630000000000003</v>
      </c>
      <c r="N73" s="192" t="str">
        <f t="shared" si="19"/>
        <v>R2RESASST</v>
      </c>
      <c r="O73" s="134">
        <f>SUMIFS(Sales!$E$7:$E$54,Sales!$B$7:$B$54,$F73,Sales!$C$7:$C$54,$N73)/SUMIFS(Sales!$E$7:$E$54,Sales!$C$7:$C$54,$N73)</f>
        <v>7.0581775183959652E-2</v>
      </c>
      <c r="P73" s="120">
        <f>O73*(INDEX(Annual!$O$9:$O$22,MATCH($AC73,Annual!$AD$9:$AD$22,0)))</f>
        <v>402.31611854857005</v>
      </c>
      <c r="Q73" s="134">
        <f>INDEX(Inputs!$E$114:$E$125,MATCH(F73,Inputs!$C$114:$C$125,0))</f>
        <v>9.7397110361162206E-2</v>
      </c>
      <c r="R73" s="840">
        <f>Q73*INDEX(Annual!$U$9:$U$22,MATCH(AC73,Annual!$AD$9:$AD$22,0))</f>
        <v>457.76641869746237</v>
      </c>
      <c r="S73" s="164">
        <f t="shared" si="16"/>
        <v>86.634125804169557</v>
      </c>
      <c r="T73" s="165">
        <f>INDEX(Inputs!$F$114:$F$125,MATCH(F73,Inputs!$C$114:$C$125,0))</f>
        <v>2.044094028325303E-2</v>
      </c>
      <c r="U73" s="264">
        <f>T73*IF(D73="HP prior to CVEO",INDEX(Annual!$P$9:$P$22,MATCH(AC73,Annual!$AD$9:$AD$22,0)),INDEX(Annual!$V$9:$V$22,MATCH(AC73,Annual!$AD$9:$AD$22,0)))</f>
        <v>108.07976833601013</v>
      </c>
      <c r="V73" s="222">
        <f>IF(E73="No",0,_xlfn.IFNA(INDEX(Inputs!$E$50:$E$53,MATCH("Events in "&amp;F73,Inputs!$C$50:$C$53,0)),0)*Inputs!$E$46*Inputs!$E$54)</f>
        <v>0</v>
      </c>
      <c r="W73" s="166">
        <f>V73*(1-Inputs!$E$48)</f>
        <v>0</v>
      </c>
      <c r="X73" s="120">
        <f t="shared" si="21"/>
        <v>510.39588688458019</v>
      </c>
      <c r="Y73" s="120">
        <f t="shared" si="22"/>
        <v>52.629468187117823</v>
      </c>
      <c r="Z73" s="20">
        <f t="shared" si="23"/>
        <v>15.7603373722848</v>
      </c>
      <c r="AA73" s="20">
        <f t="shared" si="20"/>
        <v>0</v>
      </c>
      <c r="AB73" s="21">
        <f t="shared" si="24"/>
        <v>27.172995469456549</v>
      </c>
      <c r="AC73" s="185" t="str">
        <f t="shared" ref="AC73:AC136" si="25">_xlfn.CONCAT(B73:E73)</f>
        <v>Income EligibleOilDuctlessNo</v>
      </c>
      <c r="AD73" t="s">
        <v>27</v>
      </c>
      <c r="AI73" s="58"/>
    </row>
    <row r="74" spans="2:35" x14ac:dyDescent="0.25">
      <c r="B74" s="36" t="s">
        <v>117</v>
      </c>
      <c r="C74" t="s">
        <v>130</v>
      </c>
      <c r="D74" t="s">
        <v>131</v>
      </c>
      <c r="E74" t="s">
        <v>234</v>
      </c>
      <c r="F74" s="18" t="s">
        <v>107</v>
      </c>
      <c r="G74" s="239">
        <f>IF($B74="Residential",0,Inputs!$E$103)</f>
        <v>0.42</v>
      </c>
      <c r="H74" s="162">
        <f>Inputs!$E$98/12</f>
        <v>10</v>
      </c>
      <c r="I74" s="184">
        <f>INDEX(Inputs!$D$114:$D$125,MATCH(F74,Inputs!$C$114:$C$125,0))</f>
        <v>5.5409999999999994E-2</v>
      </c>
      <c r="J74" s="161">
        <f>Inputs!$E$100</f>
        <v>0.29464000000000001</v>
      </c>
      <c r="K74" s="139">
        <f>Inputs!$E$101</f>
        <v>2.8649999999999998E-2</v>
      </c>
      <c r="L74" s="791">
        <f>EES!$I$23</f>
        <v>3.0100000000000023E-3</v>
      </c>
      <c r="M74" s="190">
        <f t="shared" si="18"/>
        <v>0.32630000000000003</v>
      </c>
      <c r="N74" s="192" t="str">
        <f t="shared" si="19"/>
        <v>R2RESASST</v>
      </c>
      <c r="O74" s="134">
        <f>SUMIFS(Sales!$E$7:$E$54,Sales!$B$7:$B$54,$F74,Sales!$C$7:$C$54,$N74)/SUMIFS(Sales!$E$7:$E$54,Sales!$C$7:$C$54,$N74)</f>
        <v>0.10401220728411072</v>
      </c>
      <c r="P74" s="120">
        <f>O74*(INDEX(Annual!$O$9:$O$22,MATCH($AC74,Annual!$AD$9:$AD$22,0)))</f>
        <v>592.86958151943111</v>
      </c>
      <c r="Q74" s="134">
        <f>INDEX(Inputs!$E$114:$E$125,MATCH(F74,Inputs!$C$114:$C$125,0))</f>
        <v>0.10459025798272056</v>
      </c>
      <c r="R74" s="840">
        <f>Q74*INDEX(Annual!$U$9:$U$22,MATCH(AC74,Annual!$AD$9:$AD$22,0))</f>
        <v>491.57421251878662</v>
      </c>
      <c r="S74" s="164">
        <f t="shared" si="16"/>
        <v>93.032386016030472</v>
      </c>
      <c r="T74" s="165">
        <f>INDEX(Inputs!$F$114:$F$125,MATCH(F74,Inputs!$C$114:$C$125,0))</f>
        <v>3.9421813403416554E-3</v>
      </c>
      <c r="U74" s="264">
        <f>T74*IF(D74="HP prior to CVEO",INDEX(Annual!$P$9:$P$22,MATCH(AC74,Annual!$AD$9:$AD$22,0)),INDEX(Annual!$V$9:$V$22,MATCH(AC74,Annual!$AD$9:$AD$22,0)))</f>
        <v>20.843955321944808</v>
      </c>
      <c r="V74" s="222">
        <f>IF(E74="No",0,_xlfn.IFNA(INDEX(Inputs!$E$50:$E$53,MATCH("Events in "&amp;F74,Inputs!$C$50:$C$53,0)),0)*Inputs!$E$46*Inputs!$E$54)</f>
        <v>0</v>
      </c>
      <c r="W74" s="166">
        <f>V74*(1-Inputs!$E$48)</f>
        <v>0</v>
      </c>
      <c r="X74" s="120">
        <f t="shared" si="21"/>
        <v>613.71353684137591</v>
      </c>
      <c r="Y74" s="120">
        <f t="shared" si="22"/>
        <v>122.13932432258929</v>
      </c>
      <c r="Z74" s="20">
        <f t="shared" si="23"/>
        <v>28.915355685347318</v>
      </c>
      <c r="AA74" s="20">
        <f t="shared" si="20"/>
        <v>0</v>
      </c>
      <c r="AB74" s="21">
        <f t="shared" si="24"/>
        <v>49.854061526460889</v>
      </c>
      <c r="AC74" s="185" t="str">
        <f t="shared" si="25"/>
        <v>Income EligibleOilDuctlessNo</v>
      </c>
      <c r="AD74" t="s">
        <v>27</v>
      </c>
      <c r="AI74" s="58"/>
    </row>
    <row r="75" spans="2:35" x14ac:dyDescent="0.25">
      <c r="B75" s="36" t="s">
        <v>117</v>
      </c>
      <c r="C75" t="s">
        <v>130</v>
      </c>
      <c r="D75" t="s">
        <v>131</v>
      </c>
      <c r="E75" t="s">
        <v>234</v>
      </c>
      <c r="F75" s="18" t="s">
        <v>108</v>
      </c>
      <c r="G75" s="239">
        <f>IF($B75="Residential",0,Inputs!$E$103)</f>
        <v>0.42</v>
      </c>
      <c r="H75" s="162">
        <f>Inputs!$E$98/12</f>
        <v>10</v>
      </c>
      <c r="I75" s="184">
        <f>INDEX(Inputs!$D$114:$D$125,MATCH(F75,Inputs!$C$114:$C$125,0))</f>
        <v>5.1479999999999998E-2</v>
      </c>
      <c r="J75" s="161">
        <f>Inputs!$E$100</f>
        <v>0.29464000000000001</v>
      </c>
      <c r="K75" s="139">
        <f>Inputs!$E$101</f>
        <v>2.8649999999999998E-2</v>
      </c>
      <c r="L75" s="791">
        <f>EES!$I$23</f>
        <v>3.0100000000000023E-3</v>
      </c>
      <c r="M75" s="190">
        <f t="shared" si="18"/>
        <v>0.32630000000000003</v>
      </c>
      <c r="N75" s="192" t="str">
        <f t="shared" si="19"/>
        <v>R2RESASST</v>
      </c>
      <c r="O75" s="134">
        <f>SUMIFS(Sales!$E$7:$E$54,Sales!$B$7:$B$54,$F75,Sales!$C$7:$C$54,$N75)/SUMIFS(Sales!$E$7:$E$54,Sales!$C$7:$C$54,$N75)</f>
        <v>0.11294527063791739</v>
      </c>
      <c r="P75" s="120">
        <f>O75*(INDEX(Annual!$O$9:$O$22,MATCH($AC75,Annual!$AD$9:$AD$22,0)))</f>
        <v>643.78804263612915</v>
      </c>
      <c r="Q75" s="134">
        <f>INDEX(Inputs!$E$114:$E$125,MATCH(F75,Inputs!$C$114:$C$125,0))</f>
        <v>9.9163535033348085E-2</v>
      </c>
      <c r="R75" s="840">
        <f>Q75*INDEX(Annual!$U$9:$U$22,MATCH(AC75,Annual!$AD$9:$AD$22,0))</f>
        <v>466.06861465673597</v>
      </c>
      <c r="S75" s="164">
        <f t="shared" si="16"/>
        <v>88.205349598245931</v>
      </c>
      <c r="T75" s="165">
        <f>INDEX(Inputs!$F$114:$F$125,MATCH(F75,Inputs!$C$114:$C$125,0))</f>
        <v>5.5482552197401083E-3</v>
      </c>
      <c r="U75" s="264">
        <f>T75*IF(D75="HP prior to CVEO",INDEX(Annual!$P$9:$P$22,MATCH(AC75,Annual!$AD$9:$AD$22,0)),INDEX(Annual!$V$9:$V$22,MATCH(AC75,Annual!$AD$9:$AD$22,0)))</f>
        <v>29.335937119774179</v>
      </c>
      <c r="V75" s="222">
        <f>IF(E75="No",0,_xlfn.IFNA(INDEX(Inputs!$E$50:$E$53,MATCH("Events in "&amp;F75,Inputs!$C$50:$C$53,0)),0)*Inputs!$E$46*Inputs!$E$54)</f>
        <v>0</v>
      </c>
      <c r="W75" s="166">
        <f>V75*(1-Inputs!$E$48)</f>
        <v>0</v>
      </c>
      <c r="X75" s="120">
        <f t="shared" si="21"/>
        <v>673.12397975590329</v>
      </c>
      <c r="Y75" s="120">
        <f t="shared" si="22"/>
        <v>207.05536509916732</v>
      </c>
      <c r="Z75" s="20">
        <f t="shared" si="23"/>
        <v>44.986056066477822</v>
      </c>
      <c r="AA75" s="20">
        <f t="shared" si="20"/>
        <v>0</v>
      </c>
      <c r="AB75" s="21">
        <f t="shared" si="24"/>
        <v>77.562165631858306</v>
      </c>
      <c r="AC75" s="185" t="str">
        <f t="shared" si="25"/>
        <v>Income EligibleOilDuctlessNo</v>
      </c>
      <c r="AD75" t="s">
        <v>27</v>
      </c>
      <c r="AI75" s="58"/>
    </row>
    <row r="76" spans="2:35" x14ac:dyDescent="0.25">
      <c r="B76" s="36" t="s">
        <v>117</v>
      </c>
      <c r="C76" t="s">
        <v>130</v>
      </c>
      <c r="D76" t="s">
        <v>131</v>
      </c>
      <c r="E76" t="s">
        <v>234</v>
      </c>
      <c r="F76" s="18" t="s">
        <v>109</v>
      </c>
      <c r="G76" s="239">
        <f>IF($B76="Residential",0,Inputs!$E$103)</f>
        <v>0.42</v>
      </c>
      <c r="H76" s="162">
        <f>Inputs!$E$98/12</f>
        <v>10</v>
      </c>
      <c r="I76" s="184">
        <f>INDEX(Inputs!$D$114:$D$125,MATCH(F76,Inputs!$C$114:$C$125,0))</f>
        <v>5.4880000000000005E-2</v>
      </c>
      <c r="J76" s="161">
        <f>Inputs!$E$100</f>
        <v>0.29464000000000001</v>
      </c>
      <c r="K76" s="139">
        <f>Inputs!$E$101</f>
        <v>2.8649999999999998E-2</v>
      </c>
      <c r="L76" s="791">
        <f>EES!$I$23</f>
        <v>3.0100000000000023E-3</v>
      </c>
      <c r="M76" s="190">
        <f t="shared" si="18"/>
        <v>0.32630000000000003</v>
      </c>
      <c r="N76" s="192" t="str">
        <f t="shared" si="19"/>
        <v>R2RESASST</v>
      </c>
      <c r="O76" s="134">
        <f>SUMIFS(Sales!$E$7:$E$54,Sales!$B$7:$B$54,$F76,Sales!$C$7:$C$54,$N76)/SUMIFS(Sales!$E$7:$E$54,Sales!$C$7:$C$54,$N76)</f>
        <v>8.9486160574449899E-2</v>
      </c>
      <c r="P76" s="120">
        <f>O76*(INDEX(Annual!$O$9:$O$22,MATCH($AC76,Annual!$AD$9:$AD$22,0)))</f>
        <v>510.07111527436444</v>
      </c>
      <c r="Q76" s="134">
        <f>INDEX(Inputs!$E$114:$E$125,MATCH(F76,Inputs!$C$114:$C$125,0))</f>
        <v>9.3858976615798895E-2</v>
      </c>
      <c r="R76" s="840">
        <f>Q76*INDEX(Annual!$U$9:$U$22,MATCH(AC76,Annual!$AD$9:$AD$22,0))</f>
        <v>441.13719009425483</v>
      </c>
      <c r="S76" s="164">
        <f t="shared" si="16"/>
        <v>83.486977774098122</v>
      </c>
      <c r="T76" s="165">
        <f>INDEX(Inputs!$F$114:$F$125,MATCH(F76,Inputs!$C$114:$C$125,0))</f>
        <v>1.9272886552781428E-2</v>
      </c>
      <c r="U76" s="264">
        <f>T76*IF(D76="HP prior to CVEO",INDEX(Annual!$P$9:$P$22,MATCH(AC76,Annual!$AD$9:$AD$22,0)),INDEX(Annual!$V$9:$V$22,MATCH(AC76,Annual!$AD$9:$AD$22,0)))</f>
        <v>101.9037815739524</v>
      </c>
      <c r="V76" s="222">
        <f>IF(E76="No",0,_xlfn.IFNA(INDEX(Inputs!$E$50:$E$53,MATCH("Events in "&amp;F76,Inputs!$C$50:$C$53,0)),0)*Inputs!$E$46*Inputs!$E$54)</f>
        <v>0</v>
      </c>
      <c r="W76" s="166">
        <f>V76*(1-Inputs!$E$48)</f>
        <v>0</v>
      </c>
      <c r="X76" s="120">
        <f t="shared" si="21"/>
        <v>611.9748968483168</v>
      </c>
      <c r="Y76" s="120">
        <f t="shared" si="22"/>
        <v>170.83770675406197</v>
      </c>
      <c r="Z76" s="20">
        <f t="shared" si="23"/>
        <v>38.131719354033251</v>
      </c>
      <c r="AA76" s="20">
        <f t="shared" si="20"/>
        <v>0</v>
      </c>
      <c r="AB76" s="21">
        <f t="shared" si="24"/>
        <v>65.744343713850427</v>
      </c>
      <c r="AC76" s="185" t="str">
        <f t="shared" si="25"/>
        <v>Income EligibleOilDuctlessNo</v>
      </c>
      <c r="AD76" t="s">
        <v>27</v>
      </c>
      <c r="AI76" s="58"/>
    </row>
    <row r="77" spans="2:35" x14ac:dyDescent="0.25">
      <c r="B77" s="36" t="s">
        <v>117</v>
      </c>
      <c r="C77" t="s">
        <v>130</v>
      </c>
      <c r="D77" t="s">
        <v>131</v>
      </c>
      <c r="E77" t="s">
        <v>234</v>
      </c>
      <c r="F77" s="18" t="s">
        <v>110</v>
      </c>
      <c r="G77" s="239">
        <f>IF($B77="Residential",0,Inputs!$E$103)</f>
        <v>0.42</v>
      </c>
      <c r="H77" s="162">
        <f>Inputs!$E$98/12</f>
        <v>10</v>
      </c>
      <c r="I77" s="184">
        <f>INDEX(Inputs!$D$114:$D$125,MATCH(F77,Inputs!$C$114:$C$125,0))</f>
        <v>5.9859999999999997E-2</v>
      </c>
      <c r="J77" s="161">
        <f>Inputs!$E$100</f>
        <v>0.29464000000000001</v>
      </c>
      <c r="K77" s="139">
        <f>Inputs!$E$101</f>
        <v>2.8649999999999998E-2</v>
      </c>
      <c r="L77" s="791">
        <f>EES!$I$23</f>
        <v>3.0100000000000023E-3</v>
      </c>
      <c r="M77" s="190">
        <f t="shared" si="18"/>
        <v>0.32630000000000003</v>
      </c>
      <c r="N77" s="192" t="str">
        <f t="shared" si="19"/>
        <v>R2RESASST</v>
      </c>
      <c r="O77" s="134">
        <f>SUMIFS(Sales!$E$7:$E$54,Sales!$B$7:$B$54,$F77,Sales!$C$7:$C$54,$N77)/SUMIFS(Sales!$E$7:$E$54,Sales!$C$7:$C$54,$N77)</f>
        <v>6.8945458928186681E-2</v>
      </c>
      <c r="P77" s="120">
        <f>O77*(INDEX(Annual!$O$9:$O$22,MATCH($AC77,Annual!$AD$9:$AD$22,0)))</f>
        <v>392.9891158906641</v>
      </c>
      <c r="Q77" s="134">
        <f>INDEX(Inputs!$E$114:$E$125,MATCH(F77,Inputs!$C$114:$C$125,0))</f>
        <v>7.6465910496739911E-2</v>
      </c>
      <c r="R77" s="840">
        <f>Q77*INDEX(Annual!$U$9:$U$22,MATCH(AC77,Annual!$AD$9:$AD$22,0))</f>
        <v>359.3897793346776</v>
      </c>
      <c r="S77" s="164">
        <f t="shared" si="16"/>
        <v>68.015953298205091</v>
      </c>
      <c r="T77" s="165">
        <f>INDEX(Inputs!$F$114:$F$125,MATCH(F77,Inputs!$C$114:$C$125,0))</f>
        <v>4.0589867133888159E-2</v>
      </c>
      <c r="U77" s="264">
        <f>T77*IF(D77="HP prior to CVEO",INDEX(Annual!$P$9:$P$22,MATCH(AC77,Annual!$AD$9:$AD$22,0)),INDEX(Annual!$V$9:$V$22,MATCH(AC77,Annual!$AD$9:$AD$22,0)))</f>
        <v>214.61553998150583</v>
      </c>
      <c r="V77" s="222">
        <f>IF(E77="No",0,_xlfn.IFNA(INDEX(Inputs!$E$50:$E$53,MATCH("Events in "&amp;F77,Inputs!$C$50:$C$53,0)),0)*Inputs!$E$46*Inputs!$E$54)</f>
        <v>0</v>
      </c>
      <c r="W77" s="166">
        <f>V77*(1-Inputs!$E$48)</f>
        <v>0</v>
      </c>
      <c r="X77" s="120">
        <f t="shared" si="21"/>
        <v>607.60465587216993</v>
      </c>
      <c r="Y77" s="120">
        <f t="shared" si="22"/>
        <v>248.21487653749233</v>
      </c>
      <c r="Z77" s="20">
        <f t="shared" si="23"/>
        <v>52.775658244226584</v>
      </c>
      <c r="AA77" s="20">
        <f t="shared" si="20"/>
        <v>0</v>
      </c>
      <c r="AB77" s="21">
        <f t="shared" si="24"/>
        <v>90.992514214183757</v>
      </c>
      <c r="AC77" s="185" t="str">
        <f t="shared" si="25"/>
        <v>Income EligibleOilDuctlessNo</v>
      </c>
      <c r="AD77" t="s">
        <v>27</v>
      </c>
      <c r="AI77" s="58"/>
    </row>
    <row r="78" spans="2:35" x14ac:dyDescent="0.25">
      <c r="B78" s="36" t="s">
        <v>117</v>
      </c>
      <c r="C78" t="s">
        <v>130</v>
      </c>
      <c r="D78" t="s">
        <v>131</v>
      </c>
      <c r="E78" t="s">
        <v>234</v>
      </c>
      <c r="F78" s="18" t="s">
        <v>111</v>
      </c>
      <c r="G78" s="239">
        <f>IF($B78="Residential",0,Inputs!$E$103)</f>
        <v>0.42</v>
      </c>
      <c r="H78" s="162">
        <f>Inputs!$E$98/12</f>
        <v>10</v>
      </c>
      <c r="I78" s="184">
        <f>INDEX(Inputs!$D$114:$D$125,MATCH(F78,Inputs!$C$114:$C$125,0))</f>
        <v>0.10368000000000001</v>
      </c>
      <c r="J78" s="161">
        <f>Inputs!$E$100</f>
        <v>0.29464000000000001</v>
      </c>
      <c r="K78" s="139">
        <f>Inputs!$E$101</f>
        <v>2.8649999999999998E-2</v>
      </c>
      <c r="L78" s="791">
        <f>EES!$I$23</f>
        <v>3.0100000000000023E-3</v>
      </c>
      <c r="M78" s="190">
        <f t="shared" si="18"/>
        <v>0.32630000000000003</v>
      </c>
      <c r="N78" s="192" t="str">
        <f t="shared" si="19"/>
        <v>R2RESASST</v>
      </c>
      <c r="O78" s="134">
        <f>SUMIFS(Sales!$E$7:$E$54,Sales!$B$7:$B$54,$F78,Sales!$C$7:$C$54,$N78)/SUMIFS(Sales!$E$7:$E$54,Sales!$C$7:$C$54,$N78)</f>
        <v>6.1773805060155777E-2</v>
      </c>
      <c r="P78" s="120">
        <f>O78*(INDEX(Annual!$O$9:$O$22,MATCH($AC78,Annual!$AD$9:$AD$22,0)))</f>
        <v>352.11068884288795</v>
      </c>
      <c r="Q78" s="134">
        <f>INDEX(Inputs!$E$114:$E$125,MATCH(F78,Inputs!$C$114:$C$125,0))</f>
        <v>5.8509626541612472E-2</v>
      </c>
      <c r="R78" s="840">
        <f>Q78*INDEX(Annual!$U$9:$U$22,MATCH(AC78,Annual!$AD$9:$AD$22,0))</f>
        <v>274.99524474557865</v>
      </c>
      <c r="S78" s="164">
        <f t="shared" si="16"/>
        <v>52.043950049079747</v>
      </c>
      <c r="T78" s="165">
        <f>INDEX(Inputs!$F$114:$F$125,MATCH(F78,Inputs!$C$114:$C$125,0))</f>
        <v>0.10643889618922471</v>
      </c>
      <c r="U78" s="264">
        <f>T78*IF(D78="HP prior to CVEO",INDEX(Annual!$P$9:$P$22,MATCH(AC78,Annual!$AD$9:$AD$22,0)),INDEX(Annual!$V$9:$V$22,MATCH(AC78,Annual!$AD$9:$AD$22,0)))</f>
        <v>562.78679369250995</v>
      </c>
      <c r="V78" s="222">
        <f>IF(E78="No",0,_xlfn.IFNA(INDEX(Inputs!$E$50:$E$53,MATCH("Events in "&amp;F78,Inputs!$C$50:$C$53,0)),0)*Inputs!$E$46*Inputs!$E$54)</f>
        <v>0</v>
      </c>
      <c r="W78" s="166">
        <f>V78*(1-Inputs!$E$48)</f>
        <v>0</v>
      </c>
      <c r="X78" s="120">
        <f t="shared" si="21"/>
        <v>914.8974825353979</v>
      </c>
      <c r="Y78" s="120">
        <f t="shared" si="22"/>
        <v>639.90223778981931</v>
      </c>
      <c r="Z78" s="20">
        <f t="shared" si="23"/>
        <v>126.90405811067448</v>
      </c>
      <c r="AA78" s="20">
        <f t="shared" si="20"/>
        <v>0</v>
      </c>
      <c r="AB78" s="21">
        <f t="shared" si="24"/>
        <v>218.80010019081806</v>
      </c>
      <c r="AC78" s="185" t="str">
        <f t="shared" si="25"/>
        <v>Income EligibleOilDuctlessNo</v>
      </c>
      <c r="AD78" t="s">
        <v>27</v>
      </c>
      <c r="AI78" s="58"/>
    </row>
    <row r="79" spans="2:35" x14ac:dyDescent="0.25">
      <c r="B79" s="36" t="s">
        <v>117</v>
      </c>
      <c r="C79" t="s">
        <v>130</v>
      </c>
      <c r="D79" t="s">
        <v>131</v>
      </c>
      <c r="E79" t="s">
        <v>234</v>
      </c>
      <c r="F79" s="18" t="s">
        <v>112</v>
      </c>
      <c r="G79" s="239">
        <f>IF($B79="Residential",0,Inputs!$E$103)</f>
        <v>0.42</v>
      </c>
      <c r="H79" s="162">
        <f>Inputs!$E$98/12</f>
        <v>10</v>
      </c>
      <c r="I79" s="184">
        <f>INDEX(Inputs!$D$114:$D$125,MATCH(F79,Inputs!$C$114:$C$125,0))</f>
        <v>7.7920000000000003E-2</v>
      </c>
      <c r="J79" s="161">
        <f>Inputs!$E$100</f>
        <v>0.29464000000000001</v>
      </c>
      <c r="K79" s="139">
        <f>Inputs!$E$101</f>
        <v>2.8649999999999998E-2</v>
      </c>
      <c r="L79" s="791">
        <f>EES!$I$23</f>
        <v>3.0100000000000023E-3</v>
      </c>
      <c r="M79" s="190">
        <f t="shared" si="18"/>
        <v>0.32630000000000003</v>
      </c>
      <c r="N79" s="192" t="str">
        <f t="shared" si="19"/>
        <v>R2RESASST</v>
      </c>
      <c r="O79" s="134">
        <f>SUMIFS(Sales!$E$7:$E$54,Sales!$B$7:$B$54,$F79,Sales!$C$7:$C$54,$N79)/SUMIFS(Sales!$E$7:$E$54,Sales!$C$7:$C$54,$N79)</f>
        <v>8.8891990421156086E-2</v>
      </c>
      <c r="P79" s="120">
        <f>O79*(INDEX(Annual!$O$9:$O$22,MATCH($AC79,Annual!$AD$9:$AD$22,0)))</f>
        <v>506.68434540058968</v>
      </c>
      <c r="Q79" s="134">
        <f>INDEX(Inputs!$E$114:$E$125,MATCH(F79,Inputs!$C$114:$C$125,0))</f>
        <v>4.8504549439315578E-2</v>
      </c>
      <c r="R79" s="840">
        <f>Q79*INDEX(Annual!$U$9:$U$22,MATCH(AC79,Annual!$AD$9:$AD$22,0))</f>
        <v>227.97138236478321</v>
      </c>
      <c r="S79" s="164">
        <f t="shared" si="16"/>
        <v>43.144495998064691</v>
      </c>
      <c r="T79" s="165">
        <f>INDEX(Inputs!$F$114:$F$125,MATCH(F79,Inputs!$C$114:$C$125,0))</f>
        <v>0.15389107898963353</v>
      </c>
      <c r="U79" s="264">
        <f>T79*IF(D79="HP prior to CVEO",INDEX(Annual!$P$9:$P$22,MATCH(AC79,Annual!$AD$9:$AD$22,0)),INDEX(Annual!$V$9:$V$22,MATCH(AC79,Annual!$AD$9:$AD$22,0)))</f>
        <v>813.68625590110491</v>
      </c>
      <c r="V79" s="222">
        <f>IF(E79="No",0,_xlfn.IFNA(INDEX(Inputs!$E$50:$E$53,MATCH("Events in "&amp;F79,Inputs!$C$50:$C$53,0)),0)*Inputs!$E$46*Inputs!$E$54)</f>
        <v>0</v>
      </c>
      <c r="W79" s="166">
        <f>V79*(1-Inputs!$E$48)</f>
        <v>0</v>
      </c>
      <c r="X79" s="120">
        <f t="shared" si="21"/>
        <v>1320.3706013016945</v>
      </c>
      <c r="Y79" s="120">
        <f t="shared" si="22"/>
        <v>1092.3992189369112</v>
      </c>
      <c r="Z79" s="20">
        <f t="shared" si="23"/>
        <v>212.54092178068623</v>
      </c>
      <c r="AA79" s="20">
        <f t="shared" si="20"/>
        <v>0</v>
      </c>
      <c r="AB79" s="21">
        <f t="shared" si="24"/>
        <v>366.44986513911414</v>
      </c>
      <c r="AC79" s="185" t="str">
        <f t="shared" si="25"/>
        <v>Income EligibleOilDuctlessNo</v>
      </c>
      <c r="AD79" t="s">
        <v>27</v>
      </c>
      <c r="AI79" s="58"/>
    </row>
    <row r="80" spans="2:35" x14ac:dyDescent="0.25">
      <c r="B80" s="36" t="s">
        <v>117</v>
      </c>
      <c r="C80" t="s">
        <v>130</v>
      </c>
      <c r="D80" t="s">
        <v>131</v>
      </c>
      <c r="E80" t="s">
        <v>233</v>
      </c>
      <c r="F80" s="18" t="s">
        <v>101</v>
      </c>
      <c r="G80" s="239">
        <f>IF($B80="Residential",0,Inputs!$E$103)</f>
        <v>0.42</v>
      </c>
      <c r="H80" s="162">
        <f>Inputs!$E$98/12</f>
        <v>10</v>
      </c>
      <c r="I80" s="184">
        <f>INDEX(Inputs!$D$114:$D$125,MATCH(F80,Inputs!$C$114:$C$125,0))</f>
        <v>4.6359999999999998E-2</v>
      </c>
      <c r="J80" s="161">
        <f>Inputs!$E$100</f>
        <v>0.29464000000000001</v>
      </c>
      <c r="K80" s="139">
        <f>Inputs!$E$101</f>
        <v>2.8649999999999998E-2</v>
      </c>
      <c r="L80" s="791">
        <f>EES!$I$23</f>
        <v>3.0100000000000023E-3</v>
      </c>
      <c r="M80" s="190">
        <f t="shared" ref="M80:M91" si="26">SUM(J80:L80)</f>
        <v>0.32630000000000003</v>
      </c>
      <c r="N80" s="192" t="str">
        <f t="shared" si="19"/>
        <v>R2RESASST</v>
      </c>
      <c r="O80" s="134">
        <f>SUMIFS(Sales!$E$7:$E$54,Sales!$B$7:$B$54,$F80,Sales!$C$7:$C$54,$N80)/SUMIFS(Sales!$E$7:$E$54,Sales!$C$7:$C$54,$N80)</f>
        <v>9.2016295941963519E-2</v>
      </c>
      <c r="P80" s="120">
        <f>O80*(INDEX(Annual!$O$9:$O$22,MATCH($AC80,Annual!$AD$9:$AD$22,0)))</f>
        <v>524.49288686919203</v>
      </c>
      <c r="Q80" s="134">
        <f>INDEX(Inputs!$E$114:$E$125,MATCH(F80,Inputs!$C$114:$C$125,0))</f>
        <v>5.9304226053352373E-2</v>
      </c>
      <c r="R80" s="840">
        <f>Q80*INDEX(Annual!$U$9:$U$22,MATCH(AC80,Annual!$AD$9:$AD$22,0))</f>
        <v>876.24959205130801</v>
      </c>
      <c r="S80" s="164">
        <f t="shared" ref="S80:S91" si="27">R80*M80*(1-$G80)</f>
        <v>165.8337402940783</v>
      </c>
      <c r="T80" s="165">
        <f>INDEX(Inputs!$F$114:$F$125,MATCH(F80,Inputs!$C$114:$C$125,0))</f>
        <v>0.16338151554971528</v>
      </c>
      <c r="U80" s="264">
        <f>T80*IF(D80="HP prior to CVEO",INDEX(Annual!$P$9:$P$22,MATCH(AC80,Annual!$AD$9:$AD$22,0)),INDEX(Annual!$V$9:$V$22,MATCH(AC80,Annual!$AD$9:$AD$22,0)))</f>
        <v>863.86614834282375</v>
      </c>
      <c r="V80" s="222">
        <f>IF(E80="No",0,_xlfn.IFNA(INDEX(Inputs!$E$50:$E$53,MATCH("Events in "&amp;F80,Inputs!$C$50:$C$53,0)),0)*Inputs!$E$46*Inputs!$E$54)</f>
        <v>0</v>
      </c>
      <c r="W80" s="166">
        <f>V80*(1-Inputs!$E$48)</f>
        <v>0</v>
      </c>
      <c r="X80" s="120">
        <f t="shared" si="21"/>
        <v>1388.3590352120159</v>
      </c>
      <c r="Y80" s="120">
        <f t="shared" si="22"/>
        <v>512.10944316070788</v>
      </c>
      <c r="Z80" s="20">
        <f t="shared" si="23"/>
        <v>102.71876055593664</v>
      </c>
      <c r="AA80" s="20">
        <f t="shared" ref="AA80:AA91" si="28">IF(Y80&gt;0,0,-Y80*$I80)</f>
        <v>0</v>
      </c>
      <c r="AB80" s="21">
        <f t="shared" si="24"/>
        <v>177.101311303339</v>
      </c>
      <c r="AC80" s="185" t="str">
        <f t="shared" si="25"/>
        <v>Income EligibleOilDuctlessYes</v>
      </c>
      <c r="AD80" t="s">
        <v>27</v>
      </c>
      <c r="AI80" s="58"/>
    </row>
    <row r="81" spans="2:35" x14ac:dyDescent="0.25">
      <c r="B81" s="36" t="s">
        <v>117</v>
      </c>
      <c r="C81" t="s">
        <v>130</v>
      </c>
      <c r="D81" t="s">
        <v>131</v>
      </c>
      <c r="E81" t="s">
        <v>233</v>
      </c>
      <c r="F81" s="18" t="s">
        <v>102</v>
      </c>
      <c r="G81" s="239">
        <f>IF($B81="Residential",0,Inputs!$E$103)</f>
        <v>0.42</v>
      </c>
      <c r="H81" s="162">
        <f>Inputs!$E$98/12</f>
        <v>10</v>
      </c>
      <c r="I81" s="184">
        <f>INDEX(Inputs!$D$114:$D$125,MATCH(F81,Inputs!$C$114:$C$125,0))</f>
        <v>3.5580000000000001E-2</v>
      </c>
      <c r="J81" s="161">
        <f>Inputs!$E$100</f>
        <v>0.29464000000000001</v>
      </c>
      <c r="K81" s="139">
        <f>Inputs!$E$101</f>
        <v>2.8649999999999998E-2</v>
      </c>
      <c r="L81" s="791">
        <f>EES!$I$23</f>
        <v>3.0100000000000023E-3</v>
      </c>
      <c r="M81" s="190">
        <f t="shared" si="26"/>
        <v>0.32630000000000003</v>
      </c>
      <c r="N81" s="192" t="str">
        <f t="shared" si="19"/>
        <v>R2RESASST</v>
      </c>
      <c r="O81" s="134">
        <f>SUMIFS(Sales!$E$7:$E$54,Sales!$B$7:$B$54,$F81,Sales!$C$7:$C$54,$N81)/SUMIFS(Sales!$E$7:$E$54,Sales!$C$7:$C$54,$N81)</f>
        <v>8.696932108954479E-2</v>
      </c>
      <c r="P81" s="120">
        <f>O81*(INDEX(Annual!$O$9:$O$22,MATCH($AC81,Annual!$AD$9:$AD$22,0)))</f>
        <v>495.72513021040533</v>
      </c>
      <c r="Q81" s="134">
        <f>INDEX(Inputs!$E$114:$E$125,MATCH(F81,Inputs!$C$114:$C$125,0))</f>
        <v>7.056160122921061E-2</v>
      </c>
      <c r="R81" s="840">
        <f>Q81*INDEX(Annual!$U$9:$U$22,MATCH(AC81,Annual!$AD$9:$AD$22,0))</f>
        <v>1042.5829389622013</v>
      </c>
      <c r="S81" s="164">
        <f t="shared" si="27"/>
        <v>197.31299153035249</v>
      </c>
      <c r="T81" s="165">
        <f>INDEX(Inputs!$F$114:$F$125,MATCH(F81,Inputs!$C$114:$C$125,0))</f>
        <v>0.2087896043217988</v>
      </c>
      <c r="U81" s="264">
        <f>T81*IF(D81="HP prior to CVEO",INDEX(Annual!$P$9:$P$22,MATCH(AC81,Annual!$AD$9:$AD$22,0)),INDEX(Annual!$V$9:$V$22,MATCH(AC81,Annual!$AD$9:$AD$22,0)))</f>
        <v>1103.9576337178178</v>
      </c>
      <c r="V81" s="222">
        <f>IF(E81="No",0,_xlfn.IFNA(INDEX(Inputs!$E$50:$E$53,MATCH("Events in "&amp;F81,Inputs!$C$50:$C$53,0)),0)*Inputs!$E$46*Inputs!$E$54)</f>
        <v>0</v>
      </c>
      <c r="W81" s="166">
        <f>V81*(1-Inputs!$E$48)</f>
        <v>0</v>
      </c>
      <c r="X81" s="120">
        <f t="shared" si="21"/>
        <v>1599.682763928223</v>
      </c>
      <c r="Y81" s="120">
        <f t="shared" si="22"/>
        <v>557.09982496602174</v>
      </c>
      <c r="Z81" s="20">
        <f t="shared" si="23"/>
        <v>111.23337027411949</v>
      </c>
      <c r="AA81" s="20">
        <f t="shared" si="28"/>
        <v>0</v>
      </c>
      <c r="AB81" s="21">
        <f t="shared" si="24"/>
        <v>191.78167288641291</v>
      </c>
      <c r="AC81" s="185" t="str">
        <f t="shared" si="25"/>
        <v>Income EligibleOilDuctlessYes</v>
      </c>
      <c r="AD81" t="s">
        <v>27</v>
      </c>
      <c r="AI81" s="58"/>
    </row>
    <row r="82" spans="2:35" x14ac:dyDescent="0.25">
      <c r="B82" s="36" t="s">
        <v>117</v>
      </c>
      <c r="C82" t="s">
        <v>130</v>
      </c>
      <c r="D82" t="s">
        <v>131</v>
      </c>
      <c r="E82" t="s">
        <v>233</v>
      </c>
      <c r="F82" s="18" t="s">
        <v>103</v>
      </c>
      <c r="G82" s="239">
        <f>IF($B82="Residential",0,Inputs!$E$103)</f>
        <v>0.42</v>
      </c>
      <c r="H82" s="162">
        <f>Inputs!$E$98/12</f>
        <v>10</v>
      </c>
      <c r="I82" s="184">
        <f>INDEX(Inputs!$D$114:$D$125,MATCH(F82,Inputs!$C$114:$C$125,0))</f>
        <v>3.8429999999999999E-2</v>
      </c>
      <c r="J82" s="161">
        <f>Inputs!$E$100</f>
        <v>0.29464000000000001</v>
      </c>
      <c r="K82" s="139">
        <f>Inputs!$E$101</f>
        <v>2.8649999999999998E-2</v>
      </c>
      <c r="L82" s="791">
        <f>EES!$I$23</f>
        <v>3.0100000000000023E-3</v>
      </c>
      <c r="M82" s="190">
        <f t="shared" si="26"/>
        <v>0.32630000000000003</v>
      </c>
      <c r="N82" s="192" t="str">
        <f t="shared" si="19"/>
        <v>R2RESASST</v>
      </c>
      <c r="O82" s="134">
        <f>SUMIFS(Sales!$E$7:$E$54,Sales!$B$7:$B$54,$F82,Sales!$C$7:$C$54,$N82)/SUMIFS(Sales!$E$7:$E$54,Sales!$C$7:$C$54,$N82)</f>
        <v>8.0952699753921803E-2</v>
      </c>
      <c r="P82" s="120">
        <f>O82*(INDEX(Annual!$O$9:$O$22,MATCH($AC82,Annual!$AD$9:$AD$22,0)))</f>
        <v>461.43038859735429</v>
      </c>
      <c r="Q82" s="134">
        <f>INDEX(Inputs!$E$114:$E$125,MATCH(F82,Inputs!$C$114:$C$125,0))</f>
        <v>9.1691796536674613E-2</v>
      </c>
      <c r="R82" s="840">
        <f>Q82*INDEX(Annual!$U$9:$U$22,MATCH(AC82,Annual!$AD$9:$AD$22,0))</f>
        <v>1354.7921397276357</v>
      </c>
      <c r="S82" s="164">
        <f t="shared" si="27"/>
        <v>256.399831612014</v>
      </c>
      <c r="T82" s="165">
        <f>INDEX(Inputs!$F$114:$F$125,MATCH(F82,Inputs!$C$114:$C$125,0))</f>
        <v>0.14002044094028326</v>
      </c>
      <c r="U82" s="264">
        <f>T82*IF(D82="HP prior to CVEO",INDEX(Annual!$P$9:$P$22,MATCH(AC82,Annual!$AD$9:$AD$22,0)),INDEX(Annual!$V$9:$V$22,MATCH(AC82,Annual!$AD$9:$AD$22,0)))</f>
        <v>740.34641310166944</v>
      </c>
      <c r="V82" s="222">
        <f>IF(E82="No",0,_xlfn.IFNA(INDEX(Inputs!$E$50:$E$53,MATCH("Events in "&amp;F82,Inputs!$C$50:$C$53,0)),0)*Inputs!$E$46*Inputs!$E$54)</f>
        <v>0</v>
      </c>
      <c r="W82" s="166">
        <f>V82*(1-Inputs!$E$48)</f>
        <v>0</v>
      </c>
      <c r="X82" s="120">
        <f t="shared" si="21"/>
        <v>1201.7768016990237</v>
      </c>
      <c r="Y82" s="120">
        <f t="shared" si="22"/>
        <v>-153.01533802861195</v>
      </c>
      <c r="Z82" s="20">
        <f t="shared" si="23"/>
        <v>-8.0379440439556582E-2</v>
      </c>
      <c r="AA82" s="20">
        <f t="shared" si="28"/>
        <v>5.8803794404395573</v>
      </c>
      <c r="AB82" s="21">
        <f t="shared" si="24"/>
        <v>4.1196205595604427</v>
      </c>
      <c r="AC82" s="185" t="str">
        <f t="shared" si="25"/>
        <v>Income EligibleOilDuctlessYes</v>
      </c>
      <c r="AD82" t="s">
        <v>27</v>
      </c>
      <c r="AI82" s="58"/>
    </row>
    <row r="83" spans="2:35" x14ac:dyDescent="0.25">
      <c r="B83" s="36" t="s">
        <v>117</v>
      </c>
      <c r="C83" t="s">
        <v>130</v>
      </c>
      <c r="D83" t="s">
        <v>131</v>
      </c>
      <c r="E83" t="s">
        <v>233</v>
      </c>
      <c r="F83" s="18" t="s">
        <v>104</v>
      </c>
      <c r="G83" s="239">
        <f>IF($B83="Residential",0,Inputs!$E$103)</f>
        <v>0.42</v>
      </c>
      <c r="H83" s="162">
        <f>Inputs!$E$98/12</f>
        <v>10</v>
      </c>
      <c r="I83" s="184">
        <f>INDEX(Inputs!$D$114:$D$125,MATCH(F83,Inputs!$C$114:$C$125,0))</f>
        <v>3.9399999999999998E-2</v>
      </c>
      <c r="J83" s="161">
        <f>Inputs!$E$100</f>
        <v>0.29464000000000001</v>
      </c>
      <c r="K83" s="139">
        <f>Inputs!$E$101</f>
        <v>2.8649999999999998E-2</v>
      </c>
      <c r="L83" s="791">
        <f>EES!$I$23</f>
        <v>3.0100000000000023E-3</v>
      </c>
      <c r="M83" s="190">
        <f t="shared" si="26"/>
        <v>0.32630000000000003</v>
      </c>
      <c r="N83" s="192" t="str">
        <f t="shared" si="19"/>
        <v>R2RESASST</v>
      </c>
      <c r="O83" s="134">
        <f>SUMIFS(Sales!$E$7:$E$54,Sales!$B$7:$B$54,$F83,Sales!$C$7:$C$54,$N83)/SUMIFS(Sales!$E$7:$E$54,Sales!$C$7:$C$54,$N83)</f>
        <v>7.557098328361167E-2</v>
      </c>
      <c r="P83" s="120">
        <f>O83*(INDEX(Annual!$O$9:$O$22,MATCH($AC83,Annual!$AD$9:$AD$22,0)))</f>
        <v>430.75460471658653</v>
      </c>
      <c r="Q83" s="134">
        <f>INDEX(Inputs!$E$114:$E$125,MATCH(F83,Inputs!$C$114:$C$125,0))</f>
        <v>9.5902218316044743E-2</v>
      </c>
      <c r="R83" s="840">
        <f>Q83*INDEX(Annual!$U$9:$U$22,MATCH(AC83,Annual!$AD$9:$AD$22,0))</f>
        <v>1417.003226728719</v>
      </c>
      <c r="S83" s="164">
        <f t="shared" si="27"/>
        <v>268.17352867131706</v>
      </c>
      <c r="T83" s="165">
        <f>INDEX(Inputs!$F$114:$F$125,MATCH(F83,Inputs!$C$114:$C$125,0))</f>
        <v>8.1909767849321066E-2</v>
      </c>
      <c r="U83" s="264">
        <f>T83*IF(D83="HP prior to CVEO",INDEX(Annual!$P$9:$P$22,MATCH(AC83,Annual!$AD$9:$AD$22,0)),INDEX(Annual!$V$9:$V$22,MATCH(AC83,Annual!$AD$9:$AD$22,0)))</f>
        <v>433.09107168929773</v>
      </c>
      <c r="V83" s="222">
        <f>IF(E83="No",0,_xlfn.IFNA(INDEX(Inputs!$E$50:$E$53,MATCH("Events in "&amp;F83,Inputs!$C$50:$C$53,0)),0)*Inputs!$E$46*Inputs!$E$54)</f>
        <v>0</v>
      </c>
      <c r="W83" s="166">
        <f>V83*(1-Inputs!$E$48)</f>
        <v>0</v>
      </c>
      <c r="X83" s="120">
        <f t="shared" si="21"/>
        <v>863.84567640588421</v>
      </c>
      <c r="Y83" s="120">
        <f t="shared" si="22"/>
        <v>-553.15755032283482</v>
      </c>
      <c r="Z83" s="20">
        <f t="shared" si="23"/>
        <v>-15.994407482719691</v>
      </c>
      <c r="AA83" s="20">
        <f t="shared" si="28"/>
        <v>21.794407482719691</v>
      </c>
      <c r="AB83" s="21">
        <f t="shared" si="24"/>
        <v>-11.794407482719691</v>
      </c>
      <c r="AC83" s="185" t="str">
        <f t="shared" si="25"/>
        <v>Income EligibleOilDuctlessYes</v>
      </c>
      <c r="AD83" t="s">
        <v>27</v>
      </c>
      <c r="AI83" s="58"/>
    </row>
    <row r="84" spans="2:35" x14ac:dyDescent="0.25">
      <c r="B84" s="36" t="s">
        <v>117</v>
      </c>
      <c r="C84" t="s">
        <v>130</v>
      </c>
      <c r="D84" t="s">
        <v>131</v>
      </c>
      <c r="E84" t="s">
        <v>233</v>
      </c>
      <c r="F84" s="18" t="s">
        <v>105</v>
      </c>
      <c r="G84" s="239">
        <f>IF($B84="Residential",0,Inputs!$E$103)</f>
        <v>0.42</v>
      </c>
      <c r="H84" s="162">
        <f>Inputs!$E$98/12</f>
        <v>10</v>
      </c>
      <c r="I84" s="184">
        <f>INDEX(Inputs!$D$114:$D$125,MATCH(F84,Inputs!$C$114:$C$125,0))</f>
        <v>4.827E-2</v>
      </c>
      <c r="J84" s="161">
        <f>Inputs!$E$100</f>
        <v>0.29464000000000001</v>
      </c>
      <c r="K84" s="139">
        <f>Inputs!$E$101</f>
        <v>2.8649999999999998E-2</v>
      </c>
      <c r="L84" s="791">
        <f>EES!$I$23</f>
        <v>3.0100000000000023E-3</v>
      </c>
      <c r="M84" s="190">
        <f t="shared" si="26"/>
        <v>0.32630000000000003</v>
      </c>
      <c r="N84" s="192" t="str">
        <f t="shared" si="19"/>
        <v>R2RESASST</v>
      </c>
      <c r="O84" s="134">
        <f>SUMIFS(Sales!$E$7:$E$54,Sales!$B$7:$B$54,$F84,Sales!$C$7:$C$54,$N84)/SUMIFS(Sales!$E$7:$E$54,Sales!$C$7:$C$54,$N84)</f>
        <v>6.7854031841022025E-2</v>
      </c>
      <c r="P84" s="120">
        <f>O84*(INDEX(Annual!$O$9:$O$22,MATCH($AC84,Annual!$AD$9:$AD$22,0)))</f>
        <v>386.76798149382552</v>
      </c>
      <c r="Q84" s="134">
        <f>INDEX(Inputs!$E$114:$E$125,MATCH(F84,Inputs!$C$114:$C$125,0))</f>
        <v>0.10405019139401983</v>
      </c>
      <c r="R84" s="840">
        <f>Q84*INDEX(Annual!$U$9:$U$22,MATCH(AC84,Annual!$AD$9:$AD$22,0))</f>
        <v>1537.3936029423401</v>
      </c>
      <c r="S84" s="164">
        <f t="shared" si="27"/>
        <v>290.95788893124973</v>
      </c>
      <c r="T84" s="165">
        <f>INDEX(Inputs!$F$114:$F$125,MATCH(F84,Inputs!$C$114:$C$125,0))</f>
        <v>5.577456563001898E-2</v>
      </c>
      <c r="U84" s="264">
        <f>T84*IF(D84="HP prior to CVEO",INDEX(Annual!$P$9:$P$22,MATCH(AC84,Annual!$AD$9:$AD$22,0)),INDEX(Annual!$V$9:$V$22,MATCH(AC84,Annual!$AD$9:$AD$22,0)))</f>
        <v>294.90336788825618</v>
      </c>
      <c r="V84" s="222">
        <f>IF(E84="No",0,_xlfn.IFNA(INDEX(Inputs!$E$50:$E$53,MATCH("Events in "&amp;F84,Inputs!$C$50:$C$53,0)),0)*Inputs!$E$46*Inputs!$E$54)</f>
        <v>0</v>
      </c>
      <c r="W84" s="166">
        <f>V84*(1-Inputs!$E$48)</f>
        <v>0</v>
      </c>
      <c r="X84" s="120">
        <f t="shared" si="21"/>
        <v>681.67134938208164</v>
      </c>
      <c r="Y84" s="120">
        <f t="shared" si="22"/>
        <v>-855.72225356025842</v>
      </c>
      <c r="Z84" s="20">
        <f t="shared" si="23"/>
        <v>-35.505713179353677</v>
      </c>
      <c r="AA84" s="20">
        <f t="shared" si="28"/>
        <v>41.305713179353674</v>
      </c>
      <c r="AB84" s="21">
        <f t="shared" si="24"/>
        <v>-31.305713179353674</v>
      </c>
      <c r="AC84" s="185" t="str">
        <f t="shared" si="25"/>
        <v>Income EligibleOilDuctlessYes</v>
      </c>
      <c r="AD84" t="s">
        <v>27</v>
      </c>
      <c r="AI84" s="58"/>
    </row>
    <row r="85" spans="2:35" x14ac:dyDescent="0.25">
      <c r="B85" s="36" t="s">
        <v>117</v>
      </c>
      <c r="C85" t="s">
        <v>130</v>
      </c>
      <c r="D85" t="s">
        <v>131</v>
      </c>
      <c r="E85" t="s">
        <v>233</v>
      </c>
      <c r="F85" s="18" t="s">
        <v>106</v>
      </c>
      <c r="G85" s="239">
        <f>IF($B85="Residential",0,Inputs!$E$103)</f>
        <v>0.42</v>
      </c>
      <c r="H85" s="162">
        <f>Inputs!$E$98/12</f>
        <v>10</v>
      </c>
      <c r="I85" s="184">
        <f>INDEX(Inputs!$D$114:$D$125,MATCH(F85,Inputs!$C$114:$C$125,0))</f>
        <v>5.8689999999999999E-2</v>
      </c>
      <c r="J85" s="161">
        <f>Inputs!$E$100</f>
        <v>0.29464000000000001</v>
      </c>
      <c r="K85" s="139">
        <f>Inputs!$E$101</f>
        <v>2.8649999999999998E-2</v>
      </c>
      <c r="L85" s="791">
        <f>EES!$I$23</f>
        <v>3.0100000000000023E-3</v>
      </c>
      <c r="M85" s="190">
        <f t="shared" si="26"/>
        <v>0.32630000000000003</v>
      </c>
      <c r="N85" s="192" t="str">
        <f t="shared" si="19"/>
        <v>R2RESASST</v>
      </c>
      <c r="O85" s="134">
        <f>SUMIFS(Sales!$E$7:$E$54,Sales!$B$7:$B$54,$F85,Sales!$C$7:$C$54,$N85)/SUMIFS(Sales!$E$7:$E$54,Sales!$C$7:$C$54,$N85)</f>
        <v>7.0581775183959652E-2</v>
      </c>
      <c r="P85" s="120">
        <f>O85*(INDEX(Annual!$O$9:$O$22,MATCH($AC85,Annual!$AD$9:$AD$22,0)))</f>
        <v>402.31611854857005</v>
      </c>
      <c r="Q85" s="134">
        <f>INDEX(Inputs!$E$114:$E$125,MATCH(F85,Inputs!$C$114:$C$125,0))</f>
        <v>9.7397110361162206E-2</v>
      </c>
      <c r="R85" s="840">
        <f>Q85*INDEX(Annual!$U$9:$U$22,MATCH(AC85,Annual!$AD$9:$AD$22,0))</f>
        <v>1439.0910041413522</v>
      </c>
      <c r="S85" s="164">
        <f t="shared" si="27"/>
        <v>272.35372889776755</v>
      </c>
      <c r="T85" s="165">
        <f>INDEX(Inputs!$F$114:$F$125,MATCH(F85,Inputs!$C$114:$C$125,0))</f>
        <v>2.044094028325303E-2</v>
      </c>
      <c r="U85" s="264">
        <f>T85*IF(D85="HP prior to CVEO",INDEX(Annual!$P$9:$P$22,MATCH(AC85,Annual!$AD$9:$AD$22,0)),INDEX(Annual!$V$9:$V$22,MATCH(AC85,Annual!$AD$9:$AD$22,0)))</f>
        <v>108.07976833601013</v>
      </c>
      <c r="V85" s="222">
        <f>IF(E85="No",0,_xlfn.IFNA(INDEX(Inputs!$E$50:$E$53,MATCH("Events in "&amp;F85,Inputs!$C$50:$C$53,0)),0)*Inputs!$E$46*Inputs!$E$54)</f>
        <v>13.56</v>
      </c>
      <c r="W85" s="166">
        <f>V85*(1-Inputs!$E$48)</f>
        <v>1.3559999999999997</v>
      </c>
      <c r="X85" s="120">
        <f t="shared" si="21"/>
        <v>511.75188688458019</v>
      </c>
      <c r="Y85" s="120">
        <f t="shared" si="22"/>
        <v>-927.33911725677194</v>
      </c>
      <c r="Z85" s="20">
        <f t="shared" si="23"/>
        <v>-48.625532791799941</v>
      </c>
      <c r="AA85" s="20">
        <f t="shared" si="28"/>
        <v>54.425532791799945</v>
      </c>
      <c r="AB85" s="21">
        <f t="shared" si="24"/>
        <v>-44.425532791799945</v>
      </c>
      <c r="AC85" s="185" t="str">
        <f t="shared" si="25"/>
        <v>Income EligibleOilDuctlessYes</v>
      </c>
      <c r="AD85" t="s">
        <v>27</v>
      </c>
      <c r="AI85" s="58"/>
    </row>
    <row r="86" spans="2:35" x14ac:dyDescent="0.25">
      <c r="B86" s="36" t="s">
        <v>117</v>
      </c>
      <c r="C86" t="s">
        <v>130</v>
      </c>
      <c r="D86" t="s">
        <v>131</v>
      </c>
      <c r="E86" t="s">
        <v>233</v>
      </c>
      <c r="F86" s="18" t="s">
        <v>107</v>
      </c>
      <c r="G86" s="239">
        <f>IF($B86="Residential",0,Inputs!$E$103)</f>
        <v>0.42</v>
      </c>
      <c r="H86" s="162">
        <f>Inputs!$E$98/12</f>
        <v>10</v>
      </c>
      <c r="I86" s="184">
        <f>INDEX(Inputs!$D$114:$D$125,MATCH(F86,Inputs!$C$114:$C$125,0))</f>
        <v>5.5409999999999994E-2</v>
      </c>
      <c r="J86" s="161">
        <f>Inputs!$E$100</f>
        <v>0.29464000000000001</v>
      </c>
      <c r="K86" s="139">
        <f>Inputs!$E$101</f>
        <v>2.8649999999999998E-2</v>
      </c>
      <c r="L86" s="791">
        <f>EES!$I$23</f>
        <v>3.0100000000000023E-3</v>
      </c>
      <c r="M86" s="190">
        <f t="shared" si="26"/>
        <v>0.32630000000000003</v>
      </c>
      <c r="N86" s="192" t="str">
        <f t="shared" si="19"/>
        <v>R2RESASST</v>
      </c>
      <c r="O86" s="134">
        <f>SUMIFS(Sales!$E$7:$E$54,Sales!$B$7:$B$54,$F86,Sales!$C$7:$C$54,$N86)/SUMIFS(Sales!$E$7:$E$54,Sales!$C$7:$C$54,$N86)</f>
        <v>0.10401220728411072</v>
      </c>
      <c r="P86" s="120">
        <f>O86*(INDEX(Annual!$O$9:$O$22,MATCH($AC86,Annual!$AD$9:$AD$22,0)))</f>
        <v>592.86958151943111</v>
      </c>
      <c r="Q86" s="134">
        <f>INDEX(Inputs!$E$114:$E$125,MATCH(F86,Inputs!$C$114:$C$125,0))</f>
        <v>0.10459025798272056</v>
      </c>
      <c r="R86" s="840">
        <f>Q86*INDEX(Annual!$U$9:$U$22,MATCH(AC86,Annual!$AD$9:$AD$22,0))</f>
        <v>1545.3733568236878</v>
      </c>
      <c r="S86" s="164">
        <f t="shared" si="27"/>
        <v>292.46808927231029</v>
      </c>
      <c r="T86" s="165">
        <f>INDEX(Inputs!$F$114:$F$125,MATCH(F86,Inputs!$C$114:$C$125,0))</f>
        <v>3.9421813403416554E-3</v>
      </c>
      <c r="U86" s="264">
        <f>T86*IF(D86="HP prior to CVEO",INDEX(Annual!$P$9:$P$22,MATCH(AC86,Annual!$AD$9:$AD$22,0)),INDEX(Annual!$V$9:$V$22,MATCH(AC86,Annual!$AD$9:$AD$22,0)))</f>
        <v>20.843955321944808</v>
      </c>
      <c r="V86" s="222">
        <f>IF(E86="No",0,_xlfn.IFNA(INDEX(Inputs!$E$50:$E$53,MATCH("Events in "&amp;F86,Inputs!$C$50:$C$53,0)),0)*Inputs!$E$46*Inputs!$E$54)</f>
        <v>183.06</v>
      </c>
      <c r="W86" s="166">
        <f>V86*(1-Inputs!$E$48)</f>
        <v>18.305999999999997</v>
      </c>
      <c r="X86" s="120">
        <f t="shared" si="21"/>
        <v>632.01953684137595</v>
      </c>
      <c r="Y86" s="120">
        <f t="shared" si="22"/>
        <v>-913.35381998231185</v>
      </c>
      <c r="Z86" s="20">
        <f t="shared" si="23"/>
        <v>-44.808935165219893</v>
      </c>
      <c r="AA86" s="20">
        <f t="shared" si="28"/>
        <v>50.608935165219897</v>
      </c>
      <c r="AB86" s="21">
        <f t="shared" si="24"/>
        <v>-40.608935165219897</v>
      </c>
      <c r="AC86" s="185" t="str">
        <f t="shared" si="25"/>
        <v>Income EligibleOilDuctlessYes</v>
      </c>
      <c r="AD86" t="s">
        <v>27</v>
      </c>
      <c r="AI86" s="58"/>
    </row>
    <row r="87" spans="2:35" x14ac:dyDescent="0.25">
      <c r="B87" s="36" t="s">
        <v>117</v>
      </c>
      <c r="C87" t="s">
        <v>130</v>
      </c>
      <c r="D87" t="s">
        <v>131</v>
      </c>
      <c r="E87" t="s">
        <v>233</v>
      </c>
      <c r="F87" s="18" t="s">
        <v>108</v>
      </c>
      <c r="G87" s="239">
        <f>IF($B87="Residential",0,Inputs!$E$103)</f>
        <v>0.42</v>
      </c>
      <c r="H87" s="162">
        <f>Inputs!$E$98/12</f>
        <v>10</v>
      </c>
      <c r="I87" s="184">
        <f>INDEX(Inputs!$D$114:$D$125,MATCH(F87,Inputs!$C$114:$C$125,0))</f>
        <v>5.1479999999999998E-2</v>
      </c>
      <c r="J87" s="161">
        <f>Inputs!$E$100</f>
        <v>0.29464000000000001</v>
      </c>
      <c r="K87" s="139">
        <f>Inputs!$E$101</f>
        <v>2.8649999999999998E-2</v>
      </c>
      <c r="L87" s="791">
        <f>EES!$I$23</f>
        <v>3.0100000000000023E-3</v>
      </c>
      <c r="M87" s="190">
        <f t="shared" si="26"/>
        <v>0.32630000000000003</v>
      </c>
      <c r="N87" s="192" t="str">
        <f t="shared" si="19"/>
        <v>R2RESASST</v>
      </c>
      <c r="O87" s="134">
        <f>SUMIFS(Sales!$E$7:$E$54,Sales!$B$7:$B$54,$F87,Sales!$C$7:$C$54,$N87)/SUMIFS(Sales!$E$7:$E$54,Sales!$C$7:$C$54,$N87)</f>
        <v>0.11294527063791739</v>
      </c>
      <c r="P87" s="120">
        <f>O87*(INDEX(Annual!$O$9:$O$22,MATCH($AC87,Annual!$AD$9:$AD$22,0)))</f>
        <v>643.78804263612915</v>
      </c>
      <c r="Q87" s="134">
        <f>INDEX(Inputs!$E$114:$E$125,MATCH(F87,Inputs!$C$114:$C$125,0))</f>
        <v>9.9163535033348085E-2</v>
      </c>
      <c r="R87" s="840">
        <f>Q87*INDEX(Annual!$U$9:$U$22,MATCH(AC87,Annual!$AD$9:$AD$22,0))</f>
        <v>1465.1908118852346</v>
      </c>
      <c r="S87" s="164">
        <f t="shared" si="27"/>
        <v>277.29322191252822</v>
      </c>
      <c r="T87" s="165">
        <f>INDEX(Inputs!$F$114:$F$125,MATCH(F87,Inputs!$C$114:$C$125,0))</f>
        <v>5.5482552197401083E-3</v>
      </c>
      <c r="U87" s="264">
        <f>T87*IF(D87="HP prior to CVEO",INDEX(Annual!$P$9:$P$22,MATCH(AC87,Annual!$AD$9:$AD$22,0)),INDEX(Annual!$V$9:$V$22,MATCH(AC87,Annual!$AD$9:$AD$22,0)))</f>
        <v>29.335937119774179</v>
      </c>
      <c r="V87" s="222">
        <f>IF(E87="No",0,_xlfn.IFNA(INDEX(Inputs!$E$50:$E$53,MATCH("Events in "&amp;F87,Inputs!$C$50:$C$53,0)),0)*Inputs!$E$46*Inputs!$E$54)</f>
        <v>108.48</v>
      </c>
      <c r="W87" s="166">
        <f>V87*(1-Inputs!$E$48)</f>
        <v>10.847999999999997</v>
      </c>
      <c r="X87" s="120">
        <f t="shared" si="21"/>
        <v>683.97197975590325</v>
      </c>
      <c r="Y87" s="120">
        <f t="shared" si="22"/>
        <v>-781.2188321293313</v>
      </c>
      <c r="Z87" s="20">
        <f t="shared" si="23"/>
        <v>-34.417145478017972</v>
      </c>
      <c r="AA87" s="20">
        <f t="shared" si="28"/>
        <v>40.217145478017976</v>
      </c>
      <c r="AB87" s="21">
        <f t="shared" si="24"/>
        <v>-30.217145478017976</v>
      </c>
      <c r="AC87" s="185" t="str">
        <f t="shared" si="25"/>
        <v>Income EligibleOilDuctlessYes</v>
      </c>
      <c r="AD87" t="s">
        <v>27</v>
      </c>
      <c r="AI87" s="58"/>
    </row>
    <row r="88" spans="2:35" x14ac:dyDescent="0.25">
      <c r="B88" s="36" t="s">
        <v>117</v>
      </c>
      <c r="C88" t="s">
        <v>130</v>
      </c>
      <c r="D88" t="s">
        <v>131</v>
      </c>
      <c r="E88" t="s">
        <v>233</v>
      </c>
      <c r="F88" s="18" t="s">
        <v>109</v>
      </c>
      <c r="G88" s="239">
        <f>IF($B88="Residential",0,Inputs!$E$103)</f>
        <v>0.42</v>
      </c>
      <c r="H88" s="162">
        <f>Inputs!$E$98/12</f>
        <v>10</v>
      </c>
      <c r="I88" s="184">
        <f>INDEX(Inputs!$D$114:$D$125,MATCH(F88,Inputs!$C$114:$C$125,0))</f>
        <v>5.4880000000000005E-2</v>
      </c>
      <c r="J88" s="161">
        <f>Inputs!$E$100</f>
        <v>0.29464000000000001</v>
      </c>
      <c r="K88" s="139">
        <f>Inputs!$E$101</f>
        <v>2.8649999999999998E-2</v>
      </c>
      <c r="L88" s="791">
        <f>EES!$I$23</f>
        <v>3.0100000000000023E-3</v>
      </c>
      <c r="M88" s="190">
        <f t="shared" si="26"/>
        <v>0.32630000000000003</v>
      </c>
      <c r="N88" s="192" t="str">
        <f t="shared" si="19"/>
        <v>R2RESASST</v>
      </c>
      <c r="O88" s="134">
        <f>SUMIFS(Sales!$E$7:$E$54,Sales!$B$7:$B$54,$F88,Sales!$C$7:$C$54,$N88)/SUMIFS(Sales!$E$7:$E$54,Sales!$C$7:$C$54,$N88)</f>
        <v>8.9486160574449899E-2</v>
      </c>
      <c r="P88" s="120">
        <f>O88*(INDEX(Annual!$O$9:$O$22,MATCH($AC88,Annual!$AD$9:$AD$22,0)))</f>
        <v>510.07111527436444</v>
      </c>
      <c r="Q88" s="134">
        <f>INDEX(Inputs!$E$114:$E$125,MATCH(F88,Inputs!$C$114:$C$125,0))</f>
        <v>9.3858976615798895E-2</v>
      </c>
      <c r="R88" s="840">
        <f>Q88*INDEX(Annual!$U$9:$U$22,MATCH(AC88,Annual!$AD$9:$AD$22,0))</f>
        <v>1386.8133089867365</v>
      </c>
      <c r="S88" s="164">
        <f t="shared" si="27"/>
        <v>262.4599659789759</v>
      </c>
      <c r="T88" s="165">
        <f>INDEX(Inputs!$F$114:$F$125,MATCH(F88,Inputs!$C$114:$C$125,0))</f>
        <v>1.9272886552781428E-2</v>
      </c>
      <c r="U88" s="264">
        <f>T88*IF(D88="HP prior to CVEO",INDEX(Annual!$P$9:$P$22,MATCH(AC88,Annual!$AD$9:$AD$22,0)),INDEX(Annual!$V$9:$V$22,MATCH(AC88,Annual!$AD$9:$AD$22,0)))</f>
        <v>101.9037815739524</v>
      </c>
      <c r="V88" s="222">
        <f>IF(E88="No",0,_xlfn.IFNA(INDEX(Inputs!$E$50:$E$53,MATCH("Events in "&amp;F88,Inputs!$C$50:$C$53,0)),0)*Inputs!$E$46*Inputs!$E$54)</f>
        <v>0</v>
      </c>
      <c r="W88" s="166">
        <f>V88*(1-Inputs!$E$48)</f>
        <v>0</v>
      </c>
      <c r="X88" s="120">
        <f t="shared" si="21"/>
        <v>611.9748968483168</v>
      </c>
      <c r="Y88" s="120">
        <f t="shared" si="22"/>
        <v>-774.8384121384197</v>
      </c>
      <c r="Z88" s="20">
        <f t="shared" si="23"/>
        <v>-36.72313205815648</v>
      </c>
      <c r="AA88" s="20">
        <f t="shared" si="28"/>
        <v>42.523132058156477</v>
      </c>
      <c r="AB88" s="21">
        <f t="shared" si="24"/>
        <v>-32.523132058156477</v>
      </c>
      <c r="AC88" s="185" t="str">
        <f t="shared" si="25"/>
        <v>Income EligibleOilDuctlessYes</v>
      </c>
      <c r="AD88" t="s">
        <v>27</v>
      </c>
      <c r="AI88" s="58"/>
    </row>
    <row r="89" spans="2:35" x14ac:dyDescent="0.25">
      <c r="B89" s="36" t="s">
        <v>117</v>
      </c>
      <c r="C89" t="s">
        <v>130</v>
      </c>
      <c r="D89" t="s">
        <v>131</v>
      </c>
      <c r="E89" t="s">
        <v>233</v>
      </c>
      <c r="F89" s="18" t="s">
        <v>110</v>
      </c>
      <c r="G89" s="239">
        <f>IF($B89="Residential",0,Inputs!$E$103)</f>
        <v>0.42</v>
      </c>
      <c r="H89" s="162">
        <f>Inputs!$E$98/12</f>
        <v>10</v>
      </c>
      <c r="I89" s="184">
        <f>INDEX(Inputs!$D$114:$D$125,MATCH(F89,Inputs!$C$114:$C$125,0))</f>
        <v>5.9859999999999997E-2</v>
      </c>
      <c r="J89" s="161">
        <f>Inputs!$E$100</f>
        <v>0.29464000000000001</v>
      </c>
      <c r="K89" s="139">
        <f>Inputs!$E$101</f>
        <v>2.8649999999999998E-2</v>
      </c>
      <c r="L89" s="791">
        <f>EES!$I$23</f>
        <v>3.0100000000000023E-3</v>
      </c>
      <c r="M89" s="190">
        <f t="shared" si="26"/>
        <v>0.32630000000000003</v>
      </c>
      <c r="N89" s="192" t="str">
        <f t="shared" si="19"/>
        <v>R2RESASST</v>
      </c>
      <c r="O89" s="134">
        <f>SUMIFS(Sales!$E$7:$E$54,Sales!$B$7:$B$54,$F89,Sales!$C$7:$C$54,$N89)/SUMIFS(Sales!$E$7:$E$54,Sales!$C$7:$C$54,$N89)</f>
        <v>6.8945458928186681E-2</v>
      </c>
      <c r="P89" s="120">
        <f>O89*(INDEX(Annual!$O$9:$O$22,MATCH($AC89,Annual!$AD$9:$AD$22,0)))</f>
        <v>392.9891158906641</v>
      </c>
      <c r="Q89" s="134">
        <f>INDEX(Inputs!$E$114:$E$125,MATCH(F89,Inputs!$C$114:$C$125,0))</f>
        <v>7.6465910496739911E-2</v>
      </c>
      <c r="R89" s="840">
        <f>Q89*INDEX(Annual!$U$9:$U$22,MATCH(AC89,Annual!$AD$9:$AD$22,0))</f>
        <v>1129.8220605445806</v>
      </c>
      <c r="S89" s="164">
        <f t="shared" si="27"/>
        <v>213.82334424630412</v>
      </c>
      <c r="T89" s="165">
        <f>INDEX(Inputs!$F$114:$F$125,MATCH(F89,Inputs!$C$114:$C$125,0))</f>
        <v>4.0589867133888159E-2</v>
      </c>
      <c r="U89" s="264">
        <f>T89*IF(D89="HP prior to CVEO",INDEX(Annual!$P$9:$P$22,MATCH(AC89,Annual!$AD$9:$AD$22,0)),INDEX(Annual!$V$9:$V$22,MATCH(AC89,Annual!$AD$9:$AD$22,0)))</f>
        <v>214.61553998150583</v>
      </c>
      <c r="V89" s="222">
        <f>IF(E89="No",0,_xlfn.IFNA(INDEX(Inputs!$E$50:$E$53,MATCH("Events in "&amp;F89,Inputs!$C$50:$C$53,0)),0)*Inputs!$E$46*Inputs!$E$54)</f>
        <v>0</v>
      </c>
      <c r="W89" s="166">
        <f>V89*(1-Inputs!$E$48)</f>
        <v>0</v>
      </c>
      <c r="X89" s="120">
        <f t="shared" si="21"/>
        <v>607.60465587216993</v>
      </c>
      <c r="Y89" s="120">
        <f t="shared" si="22"/>
        <v>-522.21740467241068</v>
      </c>
      <c r="Z89" s="20">
        <f t="shared" si="23"/>
        <v>-25.4599338436905</v>
      </c>
      <c r="AA89" s="20">
        <f t="shared" si="28"/>
        <v>31.259933843690501</v>
      </c>
      <c r="AB89" s="21">
        <f t="shared" si="24"/>
        <v>-21.259933843690501</v>
      </c>
      <c r="AC89" s="185" t="str">
        <f t="shared" si="25"/>
        <v>Income EligibleOilDuctlessYes</v>
      </c>
      <c r="AD89" t="s">
        <v>27</v>
      </c>
      <c r="AI89" s="58"/>
    </row>
    <row r="90" spans="2:35" x14ac:dyDescent="0.25">
      <c r="B90" s="36" t="s">
        <v>117</v>
      </c>
      <c r="C90" t="s">
        <v>130</v>
      </c>
      <c r="D90" t="s">
        <v>131</v>
      </c>
      <c r="E90" t="s">
        <v>233</v>
      </c>
      <c r="F90" s="18" t="s">
        <v>111</v>
      </c>
      <c r="G90" s="239">
        <f>IF($B90="Residential",0,Inputs!$E$103)</f>
        <v>0.42</v>
      </c>
      <c r="H90" s="162">
        <f>Inputs!$E$98/12</f>
        <v>10</v>
      </c>
      <c r="I90" s="184">
        <f>INDEX(Inputs!$D$114:$D$125,MATCH(F90,Inputs!$C$114:$C$125,0))</f>
        <v>0.10368000000000001</v>
      </c>
      <c r="J90" s="161">
        <f>Inputs!$E$100</f>
        <v>0.29464000000000001</v>
      </c>
      <c r="K90" s="139">
        <f>Inputs!$E$101</f>
        <v>2.8649999999999998E-2</v>
      </c>
      <c r="L90" s="791">
        <f>EES!$I$23</f>
        <v>3.0100000000000023E-3</v>
      </c>
      <c r="M90" s="190">
        <f t="shared" si="26"/>
        <v>0.32630000000000003</v>
      </c>
      <c r="N90" s="192" t="str">
        <f t="shared" si="19"/>
        <v>R2RESASST</v>
      </c>
      <c r="O90" s="134">
        <f>SUMIFS(Sales!$E$7:$E$54,Sales!$B$7:$B$54,$F90,Sales!$C$7:$C$54,$N90)/SUMIFS(Sales!$E$7:$E$54,Sales!$C$7:$C$54,$N90)</f>
        <v>6.1773805060155777E-2</v>
      </c>
      <c r="P90" s="120">
        <f>O90*(INDEX(Annual!$O$9:$O$22,MATCH($AC90,Annual!$AD$9:$AD$22,0)))</f>
        <v>352.11068884288795</v>
      </c>
      <c r="Q90" s="134">
        <f>INDEX(Inputs!$E$114:$E$125,MATCH(F90,Inputs!$C$114:$C$125,0))</f>
        <v>5.8509626541612472E-2</v>
      </c>
      <c r="R90" s="840">
        <f>Q90*INDEX(Annual!$U$9:$U$22,MATCH(AC90,Annual!$AD$9:$AD$22,0))</f>
        <v>864.50898696559511</v>
      </c>
      <c r="S90" s="164">
        <f t="shared" si="27"/>
        <v>163.61178381918677</v>
      </c>
      <c r="T90" s="165">
        <f>INDEX(Inputs!$F$114:$F$125,MATCH(F90,Inputs!$C$114:$C$125,0))</f>
        <v>0.10643889618922471</v>
      </c>
      <c r="U90" s="264">
        <f>T90*IF(D90="HP prior to CVEO",INDEX(Annual!$P$9:$P$22,MATCH(AC90,Annual!$AD$9:$AD$22,0)),INDEX(Annual!$V$9:$V$22,MATCH(AC90,Annual!$AD$9:$AD$22,0)))</f>
        <v>562.78679369250995</v>
      </c>
      <c r="V90" s="222">
        <f>IF(E90="No",0,_xlfn.IFNA(INDEX(Inputs!$E$50:$E$53,MATCH("Events in "&amp;F90,Inputs!$C$50:$C$53,0)),0)*Inputs!$E$46*Inputs!$E$54)</f>
        <v>0</v>
      </c>
      <c r="W90" s="166">
        <f>V90*(1-Inputs!$E$48)</f>
        <v>0</v>
      </c>
      <c r="X90" s="120">
        <f t="shared" si="21"/>
        <v>914.8974825353979</v>
      </c>
      <c r="Y90" s="120">
        <f t="shared" si="22"/>
        <v>50.388495569802785</v>
      </c>
      <c r="Z90" s="20">
        <f t="shared" si="23"/>
        <v>15.33622434056746</v>
      </c>
      <c r="AA90" s="20">
        <f t="shared" si="28"/>
        <v>0</v>
      </c>
      <c r="AB90" s="21">
        <f t="shared" si="24"/>
        <v>26.441766104426652</v>
      </c>
      <c r="AC90" s="185" t="str">
        <f t="shared" si="25"/>
        <v>Income EligibleOilDuctlessYes</v>
      </c>
      <c r="AD90" t="s">
        <v>27</v>
      </c>
      <c r="AI90" s="58"/>
    </row>
    <row r="91" spans="2:35" x14ac:dyDescent="0.25">
      <c r="B91" s="36" t="s">
        <v>117</v>
      </c>
      <c r="C91" t="s">
        <v>130</v>
      </c>
      <c r="D91" t="s">
        <v>131</v>
      </c>
      <c r="E91" t="s">
        <v>233</v>
      </c>
      <c r="F91" s="18" t="s">
        <v>112</v>
      </c>
      <c r="G91" s="239">
        <f>IF($B91="Residential",0,Inputs!$E$103)</f>
        <v>0.42</v>
      </c>
      <c r="H91" s="162">
        <f>Inputs!$E$98/12</f>
        <v>10</v>
      </c>
      <c r="I91" s="184">
        <f>INDEX(Inputs!$D$114:$D$125,MATCH(F91,Inputs!$C$114:$C$125,0))</f>
        <v>7.7920000000000003E-2</v>
      </c>
      <c r="J91" s="161">
        <f>Inputs!$E$100</f>
        <v>0.29464000000000001</v>
      </c>
      <c r="K91" s="139">
        <f>Inputs!$E$101</f>
        <v>2.8649999999999998E-2</v>
      </c>
      <c r="L91" s="791">
        <f>EES!$I$23</f>
        <v>3.0100000000000023E-3</v>
      </c>
      <c r="M91" s="190">
        <f t="shared" si="26"/>
        <v>0.32630000000000003</v>
      </c>
      <c r="N91" s="192" t="str">
        <f t="shared" si="19"/>
        <v>R2RESASST</v>
      </c>
      <c r="O91" s="134">
        <f>SUMIFS(Sales!$E$7:$E$54,Sales!$B$7:$B$54,$F91,Sales!$C$7:$C$54,$N91)/SUMIFS(Sales!$E$7:$E$54,Sales!$C$7:$C$54,$N91)</f>
        <v>8.8891990421156086E-2</v>
      </c>
      <c r="P91" s="120">
        <f>O91*(INDEX(Annual!$O$9:$O$22,MATCH($AC91,Annual!$AD$9:$AD$22,0)))</f>
        <v>506.68434540058968</v>
      </c>
      <c r="Q91" s="134">
        <f>INDEX(Inputs!$E$114:$E$125,MATCH(F91,Inputs!$C$114:$C$125,0))</f>
        <v>4.8504549439315578E-2</v>
      </c>
      <c r="R91" s="840">
        <f>Q91*INDEX(Annual!$U$9:$U$22,MATCH(AC91,Annual!$AD$9:$AD$22,0))</f>
        <v>716.67897024060733</v>
      </c>
      <c r="S91" s="164">
        <f t="shared" si="27"/>
        <v>135.63436183391593</v>
      </c>
      <c r="T91" s="165">
        <f>INDEX(Inputs!$F$114:$F$125,MATCH(F91,Inputs!$C$114:$C$125,0))</f>
        <v>0.15389107898963353</v>
      </c>
      <c r="U91" s="264">
        <f>T91*IF(D91="HP prior to CVEO",INDEX(Annual!$P$9:$P$22,MATCH(AC91,Annual!$AD$9:$AD$22,0)),INDEX(Annual!$V$9:$V$22,MATCH(AC91,Annual!$AD$9:$AD$22,0)))</f>
        <v>813.68625590110491</v>
      </c>
      <c r="V91" s="222">
        <f>IF(E91="No",0,_xlfn.IFNA(INDEX(Inputs!$E$50:$E$53,MATCH("Events in "&amp;F91,Inputs!$C$50:$C$53,0)),0)*Inputs!$E$46*Inputs!$E$54)</f>
        <v>0</v>
      </c>
      <c r="W91" s="166">
        <f>V91*(1-Inputs!$E$48)</f>
        <v>0</v>
      </c>
      <c r="X91" s="120">
        <f t="shared" si="21"/>
        <v>1320.3706013016945</v>
      </c>
      <c r="Y91" s="120">
        <f t="shared" si="22"/>
        <v>603.69163106108715</v>
      </c>
      <c r="Z91" s="20">
        <f t="shared" si="23"/>
        <v>120.05105594483503</v>
      </c>
      <c r="AA91" s="20">
        <f t="shared" si="28"/>
        <v>0</v>
      </c>
      <c r="AB91" s="21">
        <f t="shared" si="24"/>
        <v>206.98457921523277</v>
      </c>
      <c r="AC91" s="185" t="str">
        <f t="shared" si="25"/>
        <v>Income EligibleOilDuctlessYes</v>
      </c>
      <c r="AD91" t="s">
        <v>27</v>
      </c>
      <c r="AI91" s="58"/>
    </row>
    <row r="92" spans="2:35" x14ac:dyDescent="0.25">
      <c r="B92" s="36" t="s">
        <v>117</v>
      </c>
      <c r="C92" t="s">
        <v>160</v>
      </c>
      <c r="D92" t="s">
        <v>131</v>
      </c>
      <c r="E92" t="s">
        <v>234</v>
      </c>
      <c r="F92" s="18" t="s">
        <v>101</v>
      </c>
      <c r="G92" s="239">
        <f>IF($B92="Residential",0,Inputs!$E$103)</f>
        <v>0.42</v>
      </c>
      <c r="H92" s="162">
        <f>Inputs!$E$98/12</f>
        <v>10</v>
      </c>
      <c r="I92" s="184">
        <f>INDEX(Inputs!$D$114:$D$125,MATCH(F92,Inputs!$C$114:$C$125,0))</f>
        <v>4.6359999999999998E-2</v>
      </c>
      <c r="J92" s="161">
        <f>Inputs!$E$100</f>
        <v>0.29464000000000001</v>
      </c>
      <c r="K92" s="139">
        <f>Inputs!$E$101</f>
        <v>2.8649999999999998E-2</v>
      </c>
      <c r="L92" s="791">
        <f>EES!$I$23</f>
        <v>3.0100000000000023E-3</v>
      </c>
      <c r="M92" s="190">
        <f t="shared" si="18"/>
        <v>0.32630000000000003</v>
      </c>
      <c r="N92" s="192" t="str">
        <f t="shared" si="19"/>
        <v>R2RESASST</v>
      </c>
      <c r="O92" s="134">
        <f>SUMIFS(Sales!$E$7:$E$54,Sales!$B$7:$B$54,$F92,Sales!$C$7:$C$54,$N92)/SUMIFS(Sales!$E$7:$E$54,Sales!$C$7:$C$54,$N92)</f>
        <v>9.2016295941963519E-2</v>
      </c>
      <c r="P92" s="120">
        <f>O92*(INDEX(Annual!$O$9:$O$22,MATCH($AC92,Annual!$AD$9:$AD$22,0)))</f>
        <v>524.49288686919203</v>
      </c>
      <c r="Q92" s="134">
        <f>INDEX(Inputs!$E$114:$E$125,MATCH(F92,Inputs!$C$114:$C$125,0))</f>
        <v>5.9304226053352373E-2</v>
      </c>
      <c r="R92" s="840">
        <f>Q92*INDEX(Annual!$U$9:$U$22,MATCH(AC92,Annual!$AD$9:$AD$22,0))</f>
        <v>435.07062838390635</v>
      </c>
      <c r="S92" s="164">
        <f t="shared" ref="S92:S139" si="29">R92*M92*(1-$G92)</f>
        <v>82.338856704167824</v>
      </c>
      <c r="T92" s="165">
        <f>INDEX(Inputs!$F$114:$F$125,MATCH(F92,Inputs!$C$114:$C$125,0))</f>
        <v>0.16338151554971528</v>
      </c>
      <c r="U92" s="264">
        <f>T92*IF(D92="HP prior to CVEO",INDEX(Annual!$P$9:$P$22,MATCH(AC92,Annual!$AD$9:$AD$22,0)),INDEX(Annual!$V$9:$V$22,MATCH(AC92,Annual!$AD$9:$AD$22,0)))</f>
        <v>661.20608263980137</v>
      </c>
      <c r="V92" s="222">
        <f>IF(E92="No",0,_xlfn.IFNA(INDEX(Inputs!$E$50:$E$53,MATCH("Events in "&amp;F92,Inputs!$C$50:$C$53,0)),0)*Inputs!$E$46*Inputs!$E$54)</f>
        <v>0</v>
      </c>
      <c r="W92" s="166">
        <f>V92*(1-Inputs!$E$48)</f>
        <v>0</v>
      </c>
      <c r="X92" s="120">
        <f t="shared" si="21"/>
        <v>1185.6989695089933</v>
      </c>
      <c r="Y92" s="120">
        <f t="shared" si="22"/>
        <v>750.62834112508699</v>
      </c>
      <c r="Z92" s="20">
        <f t="shared" si="23"/>
        <v>147.85941607128726</v>
      </c>
      <c r="AA92" s="20">
        <f t="shared" si="20"/>
        <v>0</v>
      </c>
      <c r="AB92" s="21">
        <f t="shared" si="24"/>
        <v>254.9300277091159</v>
      </c>
      <c r="AC92" s="185" t="str">
        <f t="shared" si="25"/>
        <v>Income EligiblePropaneDuctlessNo</v>
      </c>
      <c r="AD92" t="s">
        <v>27</v>
      </c>
      <c r="AI92" s="58"/>
    </row>
    <row r="93" spans="2:35" x14ac:dyDescent="0.25">
      <c r="B93" s="36" t="s">
        <v>117</v>
      </c>
      <c r="C93" t="s">
        <v>160</v>
      </c>
      <c r="D93" t="s">
        <v>131</v>
      </c>
      <c r="E93" t="s">
        <v>234</v>
      </c>
      <c r="F93" s="18" t="s">
        <v>102</v>
      </c>
      <c r="G93" s="239">
        <f>IF($B93="Residential",0,Inputs!$E$103)</f>
        <v>0.42</v>
      </c>
      <c r="H93" s="162">
        <f>Inputs!$E$98/12</f>
        <v>10</v>
      </c>
      <c r="I93" s="184">
        <f>INDEX(Inputs!$D$114:$D$125,MATCH(F93,Inputs!$C$114:$C$125,0))</f>
        <v>3.5580000000000001E-2</v>
      </c>
      <c r="J93" s="161">
        <f>Inputs!$E$100</f>
        <v>0.29464000000000001</v>
      </c>
      <c r="K93" s="139">
        <f>Inputs!$E$101</f>
        <v>2.8649999999999998E-2</v>
      </c>
      <c r="L93" s="791">
        <f>EES!$I$23</f>
        <v>3.0100000000000023E-3</v>
      </c>
      <c r="M93" s="190">
        <f t="shared" si="18"/>
        <v>0.32630000000000003</v>
      </c>
      <c r="N93" s="192" t="str">
        <f t="shared" si="19"/>
        <v>R2RESASST</v>
      </c>
      <c r="O93" s="134">
        <f>SUMIFS(Sales!$E$7:$E$54,Sales!$B$7:$B$54,$F93,Sales!$C$7:$C$54,$N93)/SUMIFS(Sales!$E$7:$E$54,Sales!$C$7:$C$54,$N93)</f>
        <v>8.696932108954479E-2</v>
      </c>
      <c r="P93" s="120">
        <f>O93*(INDEX(Annual!$O$9:$O$22,MATCH($AC93,Annual!$AD$9:$AD$22,0)))</f>
        <v>495.72513021040533</v>
      </c>
      <c r="Q93" s="134">
        <f>INDEX(Inputs!$E$114:$E$125,MATCH(F93,Inputs!$C$114:$C$125,0))</f>
        <v>7.056160122921061E-2</v>
      </c>
      <c r="R93" s="840">
        <f>Q93*INDEX(Annual!$U$9:$U$22,MATCH(AC93,Annual!$AD$9:$AD$22,0))</f>
        <v>517.65754701779633</v>
      </c>
      <c r="S93" s="164">
        <f t="shared" si="29"/>
        <v>97.968761403306047</v>
      </c>
      <c r="T93" s="165">
        <f>INDEX(Inputs!$F$114:$F$125,MATCH(F93,Inputs!$C$114:$C$125,0))</f>
        <v>0.2087896043217988</v>
      </c>
      <c r="U93" s="264">
        <f>T93*IF(D93="HP prior to CVEO",INDEX(Annual!$P$9:$P$22,MATCH(AC93,Annual!$AD$9:$AD$22,0)),INDEX(Annual!$V$9:$V$22,MATCH(AC93,Annual!$AD$9:$AD$22,0)))</f>
        <v>844.97292062101519</v>
      </c>
      <c r="V93" s="222">
        <f>IF(E93="No",0,_xlfn.IFNA(INDEX(Inputs!$E$50:$E$53,MATCH("Events in "&amp;F93,Inputs!$C$50:$C$53,0)),0)*Inputs!$E$46*Inputs!$E$54)</f>
        <v>0</v>
      </c>
      <c r="W93" s="166">
        <f>V93*(1-Inputs!$E$48)</f>
        <v>0</v>
      </c>
      <c r="X93" s="120">
        <f t="shared" si="21"/>
        <v>1340.6980508314205</v>
      </c>
      <c r="Y93" s="120">
        <f t="shared" si="22"/>
        <v>823.04050381362413</v>
      </c>
      <c r="Z93" s="20">
        <f t="shared" si="23"/>
        <v>161.56370750874368</v>
      </c>
      <c r="AA93" s="20">
        <f t="shared" si="20"/>
        <v>0</v>
      </c>
      <c r="AB93" s="21">
        <f t="shared" si="24"/>
        <v>278.55811639438559</v>
      </c>
      <c r="AC93" s="185" t="str">
        <f t="shared" si="25"/>
        <v>Income EligiblePropaneDuctlessNo</v>
      </c>
      <c r="AD93" t="s">
        <v>27</v>
      </c>
      <c r="AI93" s="58"/>
    </row>
    <row r="94" spans="2:35" x14ac:dyDescent="0.25">
      <c r="B94" s="36" t="s">
        <v>117</v>
      </c>
      <c r="C94" t="s">
        <v>160</v>
      </c>
      <c r="D94" t="s">
        <v>131</v>
      </c>
      <c r="E94" t="s">
        <v>234</v>
      </c>
      <c r="F94" s="18" t="s">
        <v>103</v>
      </c>
      <c r="G94" s="239">
        <f>IF($B94="Residential",0,Inputs!$E$103)</f>
        <v>0.42</v>
      </c>
      <c r="H94" s="162">
        <f>Inputs!$E$98/12</f>
        <v>10</v>
      </c>
      <c r="I94" s="184">
        <f>INDEX(Inputs!$D$114:$D$125,MATCH(F94,Inputs!$C$114:$C$125,0))</f>
        <v>3.8429999999999999E-2</v>
      </c>
      <c r="J94" s="161">
        <f>Inputs!$E$100</f>
        <v>0.29464000000000001</v>
      </c>
      <c r="K94" s="139">
        <f>Inputs!$E$101</f>
        <v>2.8649999999999998E-2</v>
      </c>
      <c r="L94" s="791">
        <f>EES!$I$23</f>
        <v>3.0100000000000023E-3</v>
      </c>
      <c r="M94" s="190">
        <f t="shared" si="18"/>
        <v>0.32630000000000003</v>
      </c>
      <c r="N94" s="192" t="str">
        <f t="shared" si="19"/>
        <v>R2RESASST</v>
      </c>
      <c r="O94" s="134">
        <f>SUMIFS(Sales!$E$7:$E$54,Sales!$B$7:$B$54,$F94,Sales!$C$7:$C$54,$N94)/SUMIFS(Sales!$E$7:$E$54,Sales!$C$7:$C$54,$N94)</f>
        <v>8.0952699753921803E-2</v>
      </c>
      <c r="P94" s="120">
        <f>O94*(INDEX(Annual!$O$9:$O$22,MATCH($AC94,Annual!$AD$9:$AD$22,0)))</f>
        <v>461.43038859735429</v>
      </c>
      <c r="Q94" s="134">
        <f>INDEX(Inputs!$E$114:$E$125,MATCH(F94,Inputs!$C$114:$C$125,0))</f>
        <v>9.1691796536674613E-2</v>
      </c>
      <c r="R94" s="840">
        <f>Q94*INDEX(Annual!$U$9:$U$22,MATCH(AC94,Annual!$AD$9:$AD$22,0))</f>
        <v>672.67394234217909</v>
      </c>
      <c r="S94" s="164">
        <f t="shared" si="29"/>
        <v>127.3062342840268</v>
      </c>
      <c r="T94" s="165">
        <f>INDEX(Inputs!$F$114:$F$125,MATCH(F94,Inputs!$C$114:$C$125,0))</f>
        <v>0.14002044094028326</v>
      </c>
      <c r="U94" s="264">
        <f>T94*IF(D94="HP prior to CVEO",INDEX(Annual!$P$9:$P$22,MATCH(AC94,Annual!$AD$9:$AD$22,0)),INDEX(Annual!$V$9:$V$22,MATCH(AC94,Annual!$AD$9:$AD$22,0)))</f>
        <v>566.66365795493266</v>
      </c>
      <c r="V94" s="222">
        <f>IF(E94="No",0,_xlfn.IFNA(INDEX(Inputs!$E$50:$E$53,MATCH("Events in "&amp;F94,Inputs!$C$50:$C$53,0)),0)*Inputs!$E$46*Inputs!$E$54)</f>
        <v>0</v>
      </c>
      <c r="W94" s="166">
        <f>V94*(1-Inputs!$E$48)</f>
        <v>0</v>
      </c>
      <c r="X94" s="120">
        <f t="shared" si="21"/>
        <v>1028.094046552287</v>
      </c>
      <c r="Y94" s="120">
        <f t="shared" si="22"/>
        <v>355.42010421010787</v>
      </c>
      <c r="Z94" s="20">
        <f t="shared" si="23"/>
        <v>73.064676402179771</v>
      </c>
      <c r="AA94" s="20">
        <f t="shared" si="20"/>
        <v>0</v>
      </c>
      <c r="AB94" s="21">
        <f t="shared" si="24"/>
        <v>125.97358000375822</v>
      </c>
      <c r="AC94" s="185" t="str">
        <f t="shared" si="25"/>
        <v>Income EligiblePropaneDuctlessNo</v>
      </c>
      <c r="AD94" t="s">
        <v>27</v>
      </c>
      <c r="AI94" s="58"/>
    </row>
    <row r="95" spans="2:35" x14ac:dyDescent="0.25">
      <c r="B95" s="36" t="s">
        <v>117</v>
      </c>
      <c r="C95" t="s">
        <v>160</v>
      </c>
      <c r="D95" t="s">
        <v>131</v>
      </c>
      <c r="E95" t="s">
        <v>234</v>
      </c>
      <c r="F95" s="18" t="s">
        <v>104</v>
      </c>
      <c r="G95" s="239">
        <f>IF($B95="Residential",0,Inputs!$E$103)</f>
        <v>0.42</v>
      </c>
      <c r="H95" s="162">
        <f>Inputs!$E$98/12</f>
        <v>10</v>
      </c>
      <c r="I95" s="184">
        <f>INDEX(Inputs!$D$114:$D$125,MATCH(F95,Inputs!$C$114:$C$125,0))</f>
        <v>3.9399999999999998E-2</v>
      </c>
      <c r="J95" s="161">
        <f>Inputs!$E$100</f>
        <v>0.29464000000000001</v>
      </c>
      <c r="K95" s="139">
        <f>Inputs!$E$101</f>
        <v>2.8649999999999998E-2</v>
      </c>
      <c r="L95" s="791">
        <f>EES!$I$23</f>
        <v>3.0100000000000023E-3</v>
      </c>
      <c r="M95" s="190">
        <f t="shared" si="18"/>
        <v>0.32630000000000003</v>
      </c>
      <c r="N95" s="192" t="str">
        <f t="shared" si="19"/>
        <v>R2RESASST</v>
      </c>
      <c r="O95" s="134">
        <f>SUMIFS(Sales!$E$7:$E$54,Sales!$B$7:$B$54,$F95,Sales!$C$7:$C$54,$N95)/SUMIFS(Sales!$E$7:$E$54,Sales!$C$7:$C$54,$N95)</f>
        <v>7.557098328361167E-2</v>
      </c>
      <c r="P95" s="120">
        <f>O95*(INDEX(Annual!$O$9:$O$22,MATCH($AC95,Annual!$AD$9:$AD$22,0)))</f>
        <v>430.75460471658653</v>
      </c>
      <c r="Q95" s="134">
        <f>INDEX(Inputs!$E$114:$E$125,MATCH(F95,Inputs!$C$114:$C$125,0))</f>
        <v>9.5902218316044743E-2</v>
      </c>
      <c r="R95" s="840">
        <f>Q95*INDEX(Annual!$U$9:$U$22,MATCH(AC95,Annual!$AD$9:$AD$22,0))</f>
        <v>703.56264912108327</v>
      </c>
      <c r="S95" s="164">
        <f t="shared" si="29"/>
        <v>133.15204559676152</v>
      </c>
      <c r="T95" s="165">
        <f>INDEX(Inputs!$F$114:$F$125,MATCH(F95,Inputs!$C$114:$C$125,0))</f>
        <v>8.1909767849321066E-2</v>
      </c>
      <c r="U95" s="264">
        <f>T95*IF(D95="HP prior to CVEO",INDEX(Annual!$P$9:$P$22,MATCH(AC95,Annual!$AD$9:$AD$22,0)),INDEX(Annual!$V$9:$V$22,MATCH(AC95,Annual!$AD$9:$AD$22,0)))</f>
        <v>331.48937655132136</v>
      </c>
      <c r="V95" s="222">
        <f>IF(E95="No",0,_xlfn.IFNA(INDEX(Inputs!$E$50:$E$53,MATCH("Events in "&amp;F95,Inputs!$C$50:$C$53,0)),0)*Inputs!$E$46*Inputs!$E$54)</f>
        <v>0</v>
      </c>
      <c r="W95" s="166">
        <f>V95*(1-Inputs!$E$48)</f>
        <v>0</v>
      </c>
      <c r="X95" s="120">
        <f t="shared" si="21"/>
        <v>762.24398126790788</v>
      </c>
      <c r="Y95" s="120">
        <f t="shared" si="22"/>
        <v>58.681332146824616</v>
      </c>
      <c r="Z95" s="20">
        <f t="shared" si="23"/>
        <v>16.905676834115148</v>
      </c>
      <c r="AA95" s="20">
        <f t="shared" si="20"/>
        <v>0</v>
      </c>
      <c r="AB95" s="21">
        <f t="shared" si="24"/>
        <v>29.147718679508873</v>
      </c>
      <c r="AC95" s="185" t="str">
        <f t="shared" si="25"/>
        <v>Income EligiblePropaneDuctlessNo</v>
      </c>
      <c r="AD95" t="s">
        <v>27</v>
      </c>
      <c r="AI95" s="58"/>
    </row>
    <row r="96" spans="2:35" x14ac:dyDescent="0.25">
      <c r="B96" s="36" t="s">
        <v>117</v>
      </c>
      <c r="C96" t="s">
        <v>160</v>
      </c>
      <c r="D96" t="s">
        <v>131</v>
      </c>
      <c r="E96" t="s">
        <v>234</v>
      </c>
      <c r="F96" s="18" t="s">
        <v>105</v>
      </c>
      <c r="G96" s="239">
        <f>IF($B96="Residential",0,Inputs!$E$103)</f>
        <v>0.42</v>
      </c>
      <c r="H96" s="162">
        <f>Inputs!$E$98/12</f>
        <v>10</v>
      </c>
      <c r="I96" s="184">
        <f>INDEX(Inputs!$D$114:$D$125,MATCH(F96,Inputs!$C$114:$C$125,0))</f>
        <v>4.827E-2</v>
      </c>
      <c r="J96" s="161">
        <f>Inputs!$E$100</f>
        <v>0.29464000000000001</v>
      </c>
      <c r="K96" s="139">
        <f>Inputs!$E$101</f>
        <v>2.8649999999999998E-2</v>
      </c>
      <c r="L96" s="791">
        <f>EES!$I$23</f>
        <v>3.0100000000000023E-3</v>
      </c>
      <c r="M96" s="190">
        <f t="shared" si="18"/>
        <v>0.32630000000000003</v>
      </c>
      <c r="N96" s="192" t="str">
        <f t="shared" si="19"/>
        <v>R2RESASST</v>
      </c>
      <c r="O96" s="134">
        <f>SUMIFS(Sales!$E$7:$E$54,Sales!$B$7:$B$54,$F96,Sales!$C$7:$C$54,$N96)/SUMIFS(Sales!$E$7:$E$54,Sales!$C$7:$C$54,$N96)</f>
        <v>6.7854031841022025E-2</v>
      </c>
      <c r="P96" s="120">
        <f>O96*(INDEX(Annual!$O$9:$O$22,MATCH($AC96,Annual!$AD$9:$AD$22,0)))</f>
        <v>386.76798149382552</v>
      </c>
      <c r="Q96" s="134">
        <f>INDEX(Inputs!$E$114:$E$125,MATCH(F96,Inputs!$C$114:$C$125,0))</f>
        <v>0.10405019139401983</v>
      </c>
      <c r="R96" s="840">
        <f>Q96*INDEX(Annual!$U$9:$U$22,MATCH(AC96,Annual!$AD$9:$AD$22,0))</f>
        <v>763.33821661437798</v>
      </c>
      <c r="S96" s="164">
        <f t="shared" si="29"/>
        <v>144.46481084713753</v>
      </c>
      <c r="T96" s="165">
        <f>INDEX(Inputs!$F$114:$F$125,MATCH(F96,Inputs!$C$114:$C$125,0))</f>
        <v>5.577456563001898E-2</v>
      </c>
      <c r="U96" s="264">
        <f>T96*IF(D96="HP prior to CVEO",INDEX(Annual!$P$9:$P$22,MATCH(AC96,Annual!$AD$9:$AD$22,0)),INDEX(Annual!$V$9:$V$22,MATCH(AC96,Annual!$AD$9:$AD$22,0)))</f>
        <v>225.72003893512434</v>
      </c>
      <c r="V96" s="222">
        <f>IF(E96="No",0,_xlfn.IFNA(INDEX(Inputs!$E$50:$E$53,MATCH("Events in "&amp;F96,Inputs!$C$50:$C$53,0)),0)*Inputs!$E$46*Inputs!$E$54)</f>
        <v>0</v>
      </c>
      <c r="W96" s="166">
        <f>V96*(1-Inputs!$E$48)</f>
        <v>0</v>
      </c>
      <c r="X96" s="120">
        <f t="shared" si="21"/>
        <v>612.48802042894988</v>
      </c>
      <c r="Y96" s="120">
        <f t="shared" si="22"/>
        <v>-150.8501961854281</v>
      </c>
      <c r="Z96" s="20">
        <f t="shared" si="23"/>
        <v>-1.4815389698706136</v>
      </c>
      <c r="AA96" s="20">
        <f t="shared" si="20"/>
        <v>7.2815389698706143</v>
      </c>
      <c r="AB96" s="21">
        <f t="shared" si="24"/>
        <v>2.7184610301293857</v>
      </c>
      <c r="AC96" s="185" t="str">
        <f t="shared" si="25"/>
        <v>Income EligiblePropaneDuctlessNo</v>
      </c>
      <c r="AD96" t="s">
        <v>27</v>
      </c>
      <c r="AI96" s="58"/>
    </row>
    <row r="97" spans="2:35" x14ac:dyDescent="0.25">
      <c r="B97" s="36" t="s">
        <v>117</v>
      </c>
      <c r="C97" t="s">
        <v>160</v>
      </c>
      <c r="D97" t="s">
        <v>131</v>
      </c>
      <c r="E97" t="s">
        <v>234</v>
      </c>
      <c r="F97" s="18" t="s">
        <v>106</v>
      </c>
      <c r="G97" s="239">
        <f>IF($B97="Residential",0,Inputs!$E$103)</f>
        <v>0.42</v>
      </c>
      <c r="H97" s="162">
        <f>Inputs!$E$98/12</f>
        <v>10</v>
      </c>
      <c r="I97" s="184">
        <f>INDEX(Inputs!$D$114:$D$125,MATCH(F97,Inputs!$C$114:$C$125,0))</f>
        <v>5.8689999999999999E-2</v>
      </c>
      <c r="J97" s="161">
        <f>Inputs!$E$100</f>
        <v>0.29464000000000001</v>
      </c>
      <c r="K97" s="139">
        <f>Inputs!$E$101</f>
        <v>2.8649999999999998E-2</v>
      </c>
      <c r="L97" s="791">
        <f>EES!$I$23</f>
        <v>3.0100000000000023E-3</v>
      </c>
      <c r="M97" s="190">
        <f t="shared" si="18"/>
        <v>0.32630000000000003</v>
      </c>
      <c r="N97" s="192" t="str">
        <f t="shared" si="19"/>
        <v>R2RESASST</v>
      </c>
      <c r="O97" s="134">
        <f>SUMIFS(Sales!$E$7:$E$54,Sales!$B$7:$B$54,$F97,Sales!$C$7:$C$54,$N97)/SUMIFS(Sales!$E$7:$E$54,Sales!$C$7:$C$54,$N97)</f>
        <v>7.0581775183959652E-2</v>
      </c>
      <c r="P97" s="120">
        <f>O97*(INDEX(Annual!$O$9:$O$22,MATCH($AC97,Annual!$AD$9:$AD$22,0)))</f>
        <v>402.31611854857005</v>
      </c>
      <c r="Q97" s="134">
        <f>INDEX(Inputs!$E$114:$E$125,MATCH(F97,Inputs!$C$114:$C$125,0))</f>
        <v>9.7397110361162206E-2</v>
      </c>
      <c r="R97" s="840">
        <f>Q97*INDEX(Annual!$U$9:$U$22,MATCH(AC97,Annual!$AD$9:$AD$22,0))</f>
        <v>714.5295508870762</v>
      </c>
      <c r="S97" s="164">
        <f t="shared" si="29"/>
        <v>135.22757562358274</v>
      </c>
      <c r="T97" s="165">
        <f>INDEX(Inputs!$F$114:$F$125,MATCH(F97,Inputs!$C$114:$C$125,0))</f>
        <v>2.044094028325303E-2</v>
      </c>
      <c r="U97" s="264">
        <f>T97*IF(D97="HP prior to CVEO",INDEX(Annual!$P$9:$P$22,MATCH(AC97,Annual!$AD$9:$AD$22,0)),INDEX(Annual!$V$9:$V$22,MATCH(AC97,Annual!$AD$9:$AD$22,0)))</f>
        <v>82.724621599260232</v>
      </c>
      <c r="V97" s="222">
        <f>IF(E97="No",0,_xlfn.IFNA(INDEX(Inputs!$E$50:$E$53,MATCH("Events in "&amp;F97,Inputs!$C$50:$C$53,0)),0)*Inputs!$E$46*Inputs!$E$54)</f>
        <v>0</v>
      </c>
      <c r="W97" s="166">
        <f>V97*(1-Inputs!$E$48)</f>
        <v>0</v>
      </c>
      <c r="X97" s="120">
        <f t="shared" si="21"/>
        <v>485.04074014783026</v>
      </c>
      <c r="Y97" s="120">
        <f t="shared" si="22"/>
        <v>-229.48881073924593</v>
      </c>
      <c r="Z97" s="20">
        <f t="shared" si="23"/>
        <v>-7.6686983022863426</v>
      </c>
      <c r="AA97" s="20">
        <f t="shared" si="20"/>
        <v>13.468698302286343</v>
      </c>
      <c r="AB97" s="21">
        <f t="shared" si="24"/>
        <v>-3.4686983022863433</v>
      </c>
      <c r="AC97" s="185" t="str">
        <f t="shared" si="25"/>
        <v>Income EligiblePropaneDuctlessNo</v>
      </c>
      <c r="AD97" t="s">
        <v>27</v>
      </c>
      <c r="AI97" s="58"/>
    </row>
    <row r="98" spans="2:35" x14ac:dyDescent="0.25">
      <c r="B98" s="36" t="s">
        <v>117</v>
      </c>
      <c r="C98" t="s">
        <v>160</v>
      </c>
      <c r="D98" t="s">
        <v>131</v>
      </c>
      <c r="E98" t="s">
        <v>234</v>
      </c>
      <c r="F98" s="18" t="s">
        <v>107</v>
      </c>
      <c r="G98" s="239">
        <f>IF($B98="Residential",0,Inputs!$E$103)</f>
        <v>0.42</v>
      </c>
      <c r="H98" s="162">
        <f>Inputs!$E$98/12</f>
        <v>10</v>
      </c>
      <c r="I98" s="184">
        <f>INDEX(Inputs!$D$114:$D$125,MATCH(F98,Inputs!$C$114:$C$125,0))</f>
        <v>5.5409999999999994E-2</v>
      </c>
      <c r="J98" s="161">
        <f>Inputs!$E$100</f>
        <v>0.29464000000000001</v>
      </c>
      <c r="K98" s="139">
        <f>Inputs!$E$101</f>
        <v>2.8649999999999998E-2</v>
      </c>
      <c r="L98" s="791">
        <f>EES!$I$23</f>
        <v>3.0100000000000023E-3</v>
      </c>
      <c r="M98" s="190">
        <f t="shared" si="18"/>
        <v>0.32630000000000003</v>
      </c>
      <c r="N98" s="192" t="str">
        <f t="shared" si="19"/>
        <v>R2RESASST</v>
      </c>
      <c r="O98" s="134">
        <f>SUMIFS(Sales!$E$7:$E$54,Sales!$B$7:$B$54,$F98,Sales!$C$7:$C$54,$N98)/SUMIFS(Sales!$E$7:$E$54,Sales!$C$7:$C$54,$N98)</f>
        <v>0.10401220728411072</v>
      </c>
      <c r="P98" s="120">
        <f>O98*(INDEX(Annual!$O$9:$O$22,MATCH($AC98,Annual!$AD$9:$AD$22,0)))</f>
        <v>592.86958151943111</v>
      </c>
      <c r="Q98" s="134">
        <f>INDEX(Inputs!$E$114:$E$125,MATCH(F98,Inputs!$C$114:$C$125,0))</f>
        <v>0.10459025798272056</v>
      </c>
      <c r="R98" s="840">
        <f>Q98*INDEX(Annual!$U$9:$U$22,MATCH(AC98,Annual!$AD$9:$AD$22,0))</f>
        <v>767.30028012573371</v>
      </c>
      <c r="S98" s="164">
        <f t="shared" si="29"/>
        <v>145.21464721491563</v>
      </c>
      <c r="T98" s="165">
        <f>INDEX(Inputs!$F$114:$F$125,MATCH(F98,Inputs!$C$114:$C$125,0))</f>
        <v>3.9421813403416554E-3</v>
      </c>
      <c r="U98" s="264">
        <f>T98*IF(D98="HP prior to CVEO",INDEX(Annual!$P$9:$P$22,MATCH(AC98,Annual!$AD$9:$AD$22,0)),INDEX(Annual!$V$9:$V$22,MATCH(AC98,Annual!$AD$9:$AD$22,0)))</f>
        <v>15.954034165571615</v>
      </c>
      <c r="V98" s="222">
        <f>IF(E98="No",0,_xlfn.IFNA(INDEX(Inputs!$E$50:$E$53,MATCH("Events in "&amp;F98,Inputs!$C$50:$C$53,0)),0)*Inputs!$E$46*Inputs!$E$54)</f>
        <v>0</v>
      </c>
      <c r="W98" s="166">
        <f>V98*(1-Inputs!$E$48)</f>
        <v>0</v>
      </c>
      <c r="X98" s="120">
        <f t="shared" si="21"/>
        <v>608.82361568500278</v>
      </c>
      <c r="Y98" s="120">
        <f t="shared" si="22"/>
        <v>-158.47666444073093</v>
      </c>
      <c r="Z98" s="20">
        <f t="shared" si="23"/>
        <v>-2.9811919766608987</v>
      </c>
      <c r="AA98" s="20">
        <f t="shared" si="20"/>
        <v>8.7811919766608995</v>
      </c>
      <c r="AB98" s="21">
        <f t="shared" si="24"/>
        <v>1.2188080233391005</v>
      </c>
      <c r="AC98" s="185" t="str">
        <f t="shared" si="25"/>
        <v>Income EligiblePropaneDuctlessNo</v>
      </c>
      <c r="AD98" t="s">
        <v>27</v>
      </c>
      <c r="AI98" s="58"/>
    </row>
    <row r="99" spans="2:35" x14ac:dyDescent="0.25">
      <c r="B99" s="36" t="s">
        <v>117</v>
      </c>
      <c r="C99" t="s">
        <v>160</v>
      </c>
      <c r="D99" t="s">
        <v>131</v>
      </c>
      <c r="E99" t="s">
        <v>234</v>
      </c>
      <c r="F99" s="18" t="s">
        <v>108</v>
      </c>
      <c r="G99" s="239">
        <f>IF($B99="Residential",0,Inputs!$E$103)</f>
        <v>0.42</v>
      </c>
      <c r="H99" s="162">
        <f>Inputs!$E$98/12</f>
        <v>10</v>
      </c>
      <c r="I99" s="184">
        <f>INDEX(Inputs!$D$114:$D$125,MATCH(F99,Inputs!$C$114:$C$125,0))</f>
        <v>5.1479999999999998E-2</v>
      </c>
      <c r="J99" s="161">
        <f>Inputs!$E$100</f>
        <v>0.29464000000000001</v>
      </c>
      <c r="K99" s="139">
        <f>Inputs!$E$101</f>
        <v>2.8649999999999998E-2</v>
      </c>
      <c r="L99" s="791">
        <f>EES!$I$23</f>
        <v>3.0100000000000023E-3</v>
      </c>
      <c r="M99" s="190">
        <f t="shared" si="18"/>
        <v>0.32630000000000003</v>
      </c>
      <c r="N99" s="192" t="str">
        <f t="shared" si="19"/>
        <v>R2RESASST</v>
      </c>
      <c r="O99" s="134">
        <f>SUMIFS(Sales!$E$7:$E$54,Sales!$B$7:$B$54,$F99,Sales!$C$7:$C$54,$N99)/SUMIFS(Sales!$E$7:$E$54,Sales!$C$7:$C$54,$N99)</f>
        <v>0.11294527063791739</v>
      </c>
      <c r="P99" s="120">
        <f>O99*(INDEX(Annual!$O$9:$O$22,MATCH($AC99,Annual!$AD$9:$AD$22,0)))</f>
        <v>643.78804263612915</v>
      </c>
      <c r="Q99" s="134">
        <f>INDEX(Inputs!$E$114:$E$125,MATCH(F99,Inputs!$C$114:$C$125,0))</f>
        <v>9.9163535033348085E-2</v>
      </c>
      <c r="R99" s="840">
        <f>Q99*INDEX(Annual!$U$9:$U$22,MATCH(AC99,Annual!$AD$9:$AD$22,0))</f>
        <v>727.48848388839986</v>
      </c>
      <c r="S99" s="164">
        <f t="shared" si="29"/>
        <v>137.68010552981525</v>
      </c>
      <c r="T99" s="165">
        <f>INDEX(Inputs!$F$114:$F$125,MATCH(F99,Inputs!$C$114:$C$125,0))</f>
        <v>5.5482552197401083E-3</v>
      </c>
      <c r="U99" s="264">
        <f>T99*IF(D99="HP prior to CVEO",INDEX(Annual!$P$9:$P$22,MATCH(AC99,Annual!$AD$9:$AD$22,0)),INDEX(Annual!$V$9:$V$22,MATCH(AC99,Annual!$AD$9:$AD$22,0)))</f>
        <v>22.453825862656348</v>
      </c>
      <c r="V99" s="222">
        <f>IF(E99="No",0,_xlfn.IFNA(INDEX(Inputs!$E$50:$E$53,MATCH("Events in "&amp;F99,Inputs!$C$50:$C$53,0)),0)*Inputs!$E$46*Inputs!$E$54)</f>
        <v>0</v>
      </c>
      <c r="W99" s="166">
        <f>V99*(1-Inputs!$E$48)</f>
        <v>0</v>
      </c>
      <c r="X99" s="120">
        <f t="shared" si="21"/>
        <v>666.24186849878549</v>
      </c>
      <c r="Y99" s="120">
        <f t="shared" si="22"/>
        <v>-61.246615389614362</v>
      </c>
      <c r="Z99" s="20">
        <f t="shared" si="23"/>
        <v>2.6470242397426533</v>
      </c>
      <c r="AA99" s="20">
        <f t="shared" si="20"/>
        <v>3.1529757602573474</v>
      </c>
      <c r="AB99" s="21">
        <f t="shared" si="24"/>
        <v>6.8470242397426526</v>
      </c>
      <c r="AC99" s="185" t="str">
        <f t="shared" si="25"/>
        <v>Income EligiblePropaneDuctlessNo</v>
      </c>
      <c r="AD99" t="s">
        <v>27</v>
      </c>
      <c r="AI99" s="58"/>
    </row>
    <row r="100" spans="2:35" x14ac:dyDescent="0.25">
      <c r="B100" s="36" t="s">
        <v>117</v>
      </c>
      <c r="C100" t="s">
        <v>160</v>
      </c>
      <c r="D100" t="s">
        <v>131</v>
      </c>
      <c r="E100" t="s">
        <v>234</v>
      </c>
      <c r="F100" s="18" t="s">
        <v>109</v>
      </c>
      <c r="G100" s="239">
        <f>IF($B100="Residential",0,Inputs!$E$103)</f>
        <v>0.42</v>
      </c>
      <c r="H100" s="162">
        <f>Inputs!$E$98/12</f>
        <v>10</v>
      </c>
      <c r="I100" s="184">
        <f>INDEX(Inputs!$D$114:$D$125,MATCH(F100,Inputs!$C$114:$C$125,0))</f>
        <v>5.4880000000000005E-2</v>
      </c>
      <c r="J100" s="161">
        <f>Inputs!$E$100</f>
        <v>0.29464000000000001</v>
      </c>
      <c r="K100" s="139">
        <f>Inputs!$E$101</f>
        <v>2.8649999999999998E-2</v>
      </c>
      <c r="L100" s="791">
        <f>EES!$I$23</f>
        <v>3.0100000000000023E-3</v>
      </c>
      <c r="M100" s="190">
        <f t="shared" si="18"/>
        <v>0.32630000000000003</v>
      </c>
      <c r="N100" s="192" t="str">
        <f t="shared" si="19"/>
        <v>R2RESASST</v>
      </c>
      <c r="O100" s="134">
        <f>SUMIFS(Sales!$E$7:$E$54,Sales!$B$7:$B$54,$F100,Sales!$C$7:$C$54,$N100)/SUMIFS(Sales!$E$7:$E$54,Sales!$C$7:$C$54,$N100)</f>
        <v>8.9486160574449899E-2</v>
      </c>
      <c r="P100" s="120">
        <f>O100*(INDEX(Annual!$O$9:$O$22,MATCH($AC100,Annual!$AD$9:$AD$22,0)))</f>
        <v>510.07111527436444</v>
      </c>
      <c r="Q100" s="134">
        <f>INDEX(Inputs!$E$114:$E$125,MATCH(F100,Inputs!$C$114:$C$125,0))</f>
        <v>9.3858976615798895E-2</v>
      </c>
      <c r="R100" s="840">
        <f>Q100*INDEX(Annual!$U$9:$U$22,MATCH(AC100,Annual!$AD$9:$AD$22,0))</f>
        <v>688.57291719765465</v>
      </c>
      <c r="S100" s="164">
        <f t="shared" si="29"/>
        <v>130.31517887132495</v>
      </c>
      <c r="T100" s="165">
        <f>INDEX(Inputs!$F$114:$F$125,MATCH(F100,Inputs!$C$114:$C$125,0))</f>
        <v>1.9272886552781428E-2</v>
      </c>
      <c r="U100" s="264">
        <f>T100*IF(D100="HP prior to CVEO",INDEX(Annual!$P$9:$P$22,MATCH(AC100,Annual!$AD$9:$AD$22,0)),INDEX(Annual!$V$9:$V$22,MATCH(AC100,Annual!$AD$9:$AD$22,0)))</f>
        <v>77.997500365016791</v>
      </c>
      <c r="V100" s="222">
        <f>IF(E100="No",0,_xlfn.IFNA(INDEX(Inputs!$E$50:$E$53,MATCH("Events in "&amp;F100,Inputs!$C$50:$C$53,0)),0)*Inputs!$E$46*Inputs!$E$54)</f>
        <v>0</v>
      </c>
      <c r="W100" s="166">
        <f>V100*(1-Inputs!$E$48)</f>
        <v>0</v>
      </c>
      <c r="X100" s="120">
        <f t="shared" si="21"/>
        <v>588.06861563938128</v>
      </c>
      <c r="Y100" s="120">
        <f t="shared" si="22"/>
        <v>-100.50430155827337</v>
      </c>
      <c r="Z100" s="20">
        <f t="shared" si="23"/>
        <v>0.28432393048195781</v>
      </c>
      <c r="AA100" s="20">
        <f t="shared" si="20"/>
        <v>5.5156760695180429</v>
      </c>
      <c r="AB100" s="21">
        <f t="shared" si="24"/>
        <v>4.4843239304819571</v>
      </c>
      <c r="AC100" s="185" t="str">
        <f t="shared" si="25"/>
        <v>Income EligiblePropaneDuctlessNo</v>
      </c>
      <c r="AD100" t="s">
        <v>27</v>
      </c>
      <c r="AI100" s="58"/>
    </row>
    <row r="101" spans="2:35" x14ac:dyDescent="0.25">
      <c r="B101" s="36" t="s">
        <v>117</v>
      </c>
      <c r="C101" t="s">
        <v>160</v>
      </c>
      <c r="D101" t="s">
        <v>131</v>
      </c>
      <c r="E101" t="s">
        <v>234</v>
      </c>
      <c r="F101" s="18" t="s">
        <v>110</v>
      </c>
      <c r="G101" s="239">
        <f>IF($B101="Residential",0,Inputs!$E$103)</f>
        <v>0.42</v>
      </c>
      <c r="H101" s="162">
        <f>Inputs!$E$98/12</f>
        <v>10</v>
      </c>
      <c r="I101" s="184">
        <f>INDEX(Inputs!$D$114:$D$125,MATCH(F101,Inputs!$C$114:$C$125,0))</f>
        <v>5.9859999999999997E-2</v>
      </c>
      <c r="J101" s="161">
        <f>Inputs!$E$100</f>
        <v>0.29464000000000001</v>
      </c>
      <c r="K101" s="139">
        <f>Inputs!$E$101</f>
        <v>2.8649999999999998E-2</v>
      </c>
      <c r="L101" s="791">
        <f>EES!$I$23</f>
        <v>3.0100000000000023E-3</v>
      </c>
      <c r="M101" s="190">
        <f t="shared" si="18"/>
        <v>0.32630000000000003</v>
      </c>
      <c r="N101" s="192" t="str">
        <f t="shared" si="19"/>
        <v>R2RESASST</v>
      </c>
      <c r="O101" s="134">
        <f>SUMIFS(Sales!$E$7:$E$54,Sales!$B$7:$B$54,$F101,Sales!$C$7:$C$54,$N101)/SUMIFS(Sales!$E$7:$E$54,Sales!$C$7:$C$54,$N101)</f>
        <v>6.8945458928186681E-2</v>
      </c>
      <c r="P101" s="120">
        <f>O101*(INDEX(Annual!$O$9:$O$22,MATCH($AC101,Annual!$AD$9:$AD$22,0)))</f>
        <v>392.9891158906641</v>
      </c>
      <c r="Q101" s="134">
        <f>INDEX(Inputs!$E$114:$E$125,MATCH(F101,Inputs!$C$114:$C$125,0))</f>
        <v>7.6465910496739911E-2</v>
      </c>
      <c r="R101" s="840">
        <f>Q101*INDEX(Annual!$U$9:$U$22,MATCH(AC101,Annual!$AD$9:$AD$22,0))</f>
        <v>560.97303588170814</v>
      </c>
      <c r="S101" s="164">
        <f t="shared" si="29"/>
        <v>106.16639093275683</v>
      </c>
      <c r="T101" s="165">
        <f>INDEX(Inputs!$F$114:$F$125,MATCH(F101,Inputs!$C$114:$C$125,0))</f>
        <v>4.0589867133888159E-2</v>
      </c>
      <c r="U101" s="264">
        <f>T101*IF(D101="HP prior to CVEO",INDEX(Annual!$P$9:$P$22,MATCH(AC101,Annual!$AD$9:$AD$22,0)),INDEX(Annual!$V$9:$V$22,MATCH(AC101,Annual!$AD$9:$AD$22,0)))</f>
        <v>164.2674628899596</v>
      </c>
      <c r="V101" s="222">
        <f>IF(E101="No",0,_xlfn.IFNA(INDEX(Inputs!$E$50:$E$53,MATCH("Events in "&amp;F101,Inputs!$C$50:$C$53,0)),0)*Inputs!$E$46*Inputs!$E$54)</f>
        <v>0</v>
      </c>
      <c r="W101" s="166">
        <f>V101*(1-Inputs!$E$48)</f>
        <v>0</v>
      </c>
      <c r="X101" s="120">
        <f t="shared" si="21"/>
        <v>557.25657878062373</v>
      </c>
      <c r="Y101" s="120">
        <f t="shared" si="22"/>
        <v>-3.7164571010844156</v>
      </c>
      <c r="Z101" s="20">
        <f t="shared" si="23"/>
        <v>5.5775328779290874</v>
      </c>
      <c r="AA101" s="20">
        <f t="shared" si="20"/>
        <v>0.2224671220709131</v>
      </c>
      <c r="AB101" s="21">
        <f t="shared" si="24"/>
        <v>9.7775328779290867</v>
      </c>
      <c r="AC101" s="185" t="str">
        <f t="shared" si="25"/>
        <v>Income EligiblePropaneDuctlessNo</v>
      </c>
      <c r="AD101" t="s">
        <v>27</v>
      </c>
      <c r="AI101" s="58"/>
    </row>
    <row r="102" spans="2:35" x14ac:dyDescent="0.25">
      <c r="B102" s="36" t="s">
        <v>117</v>
      </c>
      <c r="C102" t="s">
        <v>160</v>
      </c>
      <c r="D102" t="s">
        <v>131</v>
      </c>
      <c r="E102" t="s">
        <v>234</v>
      </c>
      <c r="F102" s="18" t="s">
        <v>111</v>
      </c>
      <c r="G102" s="239">
        <f>IF($B102="Residential",0,Inputs!$E$103)</f>
        <v>0.42</v>
      </c>
      <c r="H102" s="162">
        <f>Inputs!$E$98/12</f>
        <v>10</v>
      </c>
      <c r="I102" s="184">
        <f>INDEX(Inputs!$D$114:$D$125,MATCH(F102,Inputs!$C$114:$C$125,0))</f>
        <v>0.10368000000000001</v>
      </c>
      <c r="J102" s="161">
        <f>Inputs!$E$100</f>
        <v>0.29464000000000001</v>
      </c>
      <c r="K102" s="139">
        <f>Inputs!$E$101</f>
        <v>2.8649999999999998E-2</v>
      </c>
      <c r="L102" s="791">
        <f>EES!$I$23</f>
        <v>3.0100000000000023E-3</v>
      </c>
      <c r="M102" s="190">
        <f t="shared" si="18"/>
        <v>0.32630000000000003</v>
      </c>
      <c r="N102" s="192" t="str">
        <f t="shared" si="19"/>
        <v>R2RESASST</v>
      </c>
      <c r="O102" s="134">
        <f>SUMIFS(Sales!$E$7:$E$54,Sales!$B$7:$B$54,$F102,Sales!$C$7:$C$54,$N102)/SUMIFS(Sales!$E$7:$E$54,Sales!$C$7:$C$54,$N102)</f>
        <v>6.1773805060155777E-2</v>
      </c>
      <c r="P102" s="120">
        <f>O102*(INDEX(Annual!$O$9:$O$22,MATCH($AC102,Annual!$AD$9:$AD$22,0)))</f>
        <v>352.11068884288795</v>
      </c>
      <c r="Q102" s="134">
        <f>INDEX(Inputs!$E$114:$E$125,MATCH(F102,Inputs!$C$114:$C$125,0))</f>
        <v>5.8509626541612472E-2</v>
      </c>
      <c r="R102" s="840">
        <f>Q102*INDEX(Annual!$U$9:$U$22,MATCH(AC102,Annual!$AD$9:$AD$22,0))</f>
        <v>429.24124771590448</v>
      </c>
      <c r="S102" s="164">
        <f t="shared" si="29"/>
        <v>81.235623095225819</v>
      </c>
      <c r="T102" s="165">
        <f>INDEX(Inputs!$F$114:$F$125,MATCH(F102,Inputs!$C$114:$C$125,0))</f>
        <v>0.10643889618922471</v>
      </c>
      <c r="U102" s="264">
        <f>T102*IF(D102="HP prior to CVEO",INDEX(Annual!$P$9:$P$22,MATCH(AC102,Annual!$AD$9:$AD$22,0)),INDEX(Annual!$V$9:$V$22,MATCH(AC102,Annual!$AD$9:$AD$22,0)))</f>
        <v>430.75892247043367</v>
      </c>
      <c r="V102" s="222">
        <f>IF(E102="No",0,_xlfn.IFNA(INDEX(Inputs!$E$50:$E$53,MATCH("Events in "&amp;F102,Inputs!$C$50:$C$53,0)),0)*Inputs!$E$46*Inputs!$E$54)</f>
        <v>0</v>
      </c>
      <c r="W102" s="166">
        <f>V102*(1-Inputs!$E$48)</f>
        <v>0</v>
      </c>
      <c r="X102" s="120">
        <f t="shared" si="21"/>
        <v>782.86961131332168</v>
      </c>
      <c r="Y102" s="120">
        <f t="shared" si="22"/>
        <v>353.62836359741721</v>
      </c>
      <c r="Z102" s="20">
        <f t="shared" si="23"/>
        <v>72.725582324265616</v>
      </c>
      <c r="AA102" s="20">
        <f t="shared" si="20"/>
        <v>0</v>
      </c>
      <c r="AB102" s="21">
        <f t="shared" si="24"/>
        <v>125.38893504183724</v>
      </c>
      <c r="AC102" s="185" t="str">
        <f t="shared" si="25"/>
        <v>Income EligiblePropaneDuctlessNo</v>
      </c>
      <c r="AD102" t="s">
        <v>27</v>
      </c>
      <c r="AI102" s="58"/>
    </row>
    <row r="103" spans="2:35" x14ac:dyDescent="0.25">
      <c r="B103" s="36" t="s">
        <v>117</v>
      </c>
      <c r="C103" t="s">
        <v>160</v>
      </c>
      <c r="D103" t="s">
        <v>131</v>
      </c>
      <c r="E103" t="s">
        <v>234</v>
      </c>
      <c r="F103" s="18" t="s">
        <v>112</v>
      </c>
      <c r="G103" s="239">
        <f>IF($B103="Residential",0,Inputs!$E$103)</f>
        <v>0.42</v>
      </c>
      <c r="H103" s="162">
        <f>Inputs!$E$98/12</f>
        <v>10</v>
      </c>
      <c r="I103" s="184">
        <f>INDEX(Inputs!$D$114:$D$125,MATCH(F103,Inputs!$C$114:$C$125,0))</f>
        <v>7.7920000000000003E-2</v>
      </c>
      <c r="J103" s="161">
        <f>Inputs!$E$100</f>
        <v>0.29464000000000001</v>
      </c>
      <c r="K103" s="139">
        <f>Inputs!$E$101</f>
        <v>2.8649999999999998E-2</v>
      </c>
      <c r="L103" s="791">
        <f>EES!$I$23</f>
        <v>3.0100000000000023E-3</v>
      </c>
      <c r="M103" s="190">
        <f t="shared" si="18"/>
        <v>0.32630000000000003</v>
      </c>
      <c r="N103" s="192" t="str">
        <f t="shared" si="19"/>
        <v>R2RESASST</v>
      </c>
      <c r="O103" s="134">
        <f>SUMIFS(Sales!$E$7:$E$54,Sales!$B$7:$B$54,$F103,Sales!$C$7:$C$54,$N103)/SUMIFS(Sales!$E$7:$E$54,Sales!$C$7:$C$54,$N103)</f>
        <v>8.8891990421156086E-2</v>
      </c>
      <c r="P103" s="120">
        <f>O103*(INDEX(Annual!$O$9:$O$22,MATCH($AC103,Annual!$AD$9:$AD$22,0)))</f>
        <v>506.68434540058968</v>
      </c>
      <c r="Q103" s="134">
        <f>INDEX(Inputs!$E$114:$E$125,MATCH(F103,Inputs!$C$114:$C$125,0))</f>
        <v>4.8504549439315578E-2</v>
      </c>
      <c r="R103" s="840">
        <f>Q103*INDEX(Annual!$U$9:$U$22,MATCH(AC103,Annual!$AD$9:$AD$22,0))</f>
        <v>355.84150082417892</v>
      </c>
      <c r="S103" s="164">
        <f t="shared" si="29"/>
        <v>67.344427396979171</v>
      </c>
      <c r="T103" s="165">
        <f>INDEX(Inputs!$F$114:$F$125,MATCH(F103,Inputs!$C$114:$C$125,0))</f>
        <v>0.15389107898963353</v>
      </c>
      <c r="U103" s="264">
        <f>T103*IF(D103="HP prior to CVEO",INDEX(Annual!$P$9:$P$22,MATCH(AC103,Annual!$AD$9:$AD$22,0)),INDEX(Annual!$V$9:$V$22,MATCH(AC103,Annual!$AD$9:$AD$22,0)))</f>
        <v>622.79822261157346</v>
      </c>
      <c r="V103" s="222">
        <f>IF(E103="No",0,_xlfn.IFNA(INDEX(Inputs!$E$50:$E$53,MATCH("Events in "&amp;F103,Inputs!$C$50:$C$53,0)),0)*Inputs!$E$46*Inputs!$E$54)</f>
        <v>0</v>
      </c>
      <c r="W103" s="166">
        <f>V103*(1-Inputs!$E$48)</f>
        <v>0</v>
      </c>
      <c r="X103" s="120">
        <f t="shared" si="21"/>
        <v>1129.482568012163</v>
      </c>
      <c r="Y103" s="120">
        <f t="shared" si="22"/>
        <v>773.64106718798416</v>
      </c>
      <c r="Z103" s="20">
        <f t="shared" si="23"/>
        <v>152.21466652959478</v>
      </c>
      <c r="AA103" s="20">
        <f t="shared" si="20"/>
        <v>0</v>
      </c>
      <c r="AB103" s="21">
        <f t="shared" si="24"/>
        <v>262.43908022343925</v>
      </c>
      <c r="AC103" s="185" t="str">
        <f t="shared" si="25"/>
        <v>Income EligiblePropaneDuctlessNo</v>
      </c>
      <c r="AD103" t="s">
        <v>27</v>
      </c>
      <c r="AI103" s="58"/>
    </row>
    <row r="104" spans="2:35" x14ac:dyDescent="0.25">
      <c r="B104" s="36" t="s">
        <v>117</v>
      </c>
      <c r="C104" t="s">
        <v>160</v>
      </c>
      <c r="D104" t="s">
        <v>131</v>
      </c>
      <c r="E104" t="s">
        <v>233</v>
      </c>
      <c r="F104" s="18" t="s">
        <v>101</v>
      </c>
      <c r="G104" s="239">
        <f>IF($B104="Residential",0,Inputs!$E$103)</f>
        <v>0.42</v>
      </c>
      <c r="H104" s="162">
        <f>Inputs!$E$98/12</f>
        <v>10</v>
      </c>
      <c r="I104" s="184">
        <f>INDEX(Inputs!$D$114:$D$125,MATCH(F104,Inputs!$C$114:$C$125,0))</f>
        <v>4.6359999999999998E-2</v>
      </c>
      <c r="J104" s="161">
        <f>Inputs!$E$100</f>
        <v>0.29464000000000001</v>
      </c>
      <c r="K104" s="139">
        <f>Inputs!$E$101</f>
        <v>2.8649999999999998E-2</v>
      </c>
      <c r="L104" s="791">
        <f>EES!$I$23</f>
        <v>3.0100000000000023E-3</v>
      </c>
      <c r="M104" s="190">
        <f t="shared" ref="M104:M115" si="30">SUM(J104:L104)</f>
        <v>0.32630000000000003</v>
      </c>
      <c r="N104" s="192" t="str">
        <f t="shared" si="19"/>
        <v>R2RESASST</v>
      </c>
      <c r="O104" s="134">
        <f>SUMIFS(Sales!$E$7:$E$54,Sales!$B$7:$B$54,$F104,Sales!$C$7:$C$54,$N104)/SUMIFS(Sales!$E$7:$E$54,Sales!$C$7:$C$54,$N104)</f>
        <v>9.2016295941963519E-2</v>
      </c>
      <c r="P104" s="120">
        <f>O104*(INDEX(Annual!$O$9:$O$22,MATCH($AC104,Annual!$AD$9:$AD$22,0)))</f>
        <v>524.49288686919203</v>
      </c>
      <c r="Q104" s="134">
        <f>INDEX(Inputs!$E$114:$E$125,MATCH(F104,Inputs!$C$114:$C$125,0))</f>
        <v>5.9304226053352373E-2</v>
      </c>
      <c r="R104" s="840">
        <f>Q104*INDEX(Annual!$U$9:$U$22,MATCH(AC104,Annual!$AD$9:$AD$22,0))</f>
        <v>683.63934986769505</v>
      </c>
      <c r="S104" s="164">
        <f t="shared" ref="S104:S115" si="31">R104*M104*(1-$G104)</f>
        <v>129.38148151986078</v>
      </c>
      <c r="T104" s="165">
        <f>INDEX(Inputs!$F$114:$F$125,MATCH(F104,Inputs!$C$114:$C$125,0))</f>
        <v>0.16338151554971528</v>
      </c>
      <c r="U104" s="264">
        <f>T104*IF(D104="HP prior to CVEO",INDEX(Annual!$P$9:$P$22,MATCH(AC104,Annual!$AD$9:$AD$22,0)),INDEX(Annual!$V$9:$V$22,MATCH(AC104,Annual!$AD$9:$AD$22,0)))</f>
        <v>661.20608263980137</v>
      </c>
      <c r="V104" s="222">
        <f>IF(E104="No",0,_xlfn.IFNA(INDEX(Inputs!$E$50:$E$53,MATCH("Events in "&amp;F104,Inputs!$C$50:$C$53,0)),0)*Inputs!$E$46*Inputs!$E$54)</f>
        <v>0</v>
      </c>
      <c r="W104" s="166">
        <f>V104*(1-Inputs!$E$48)</f>
        <v>0</v>
      </c>
      <c r="X104" s="120">
        <f t="shared" ref="X104:X135" si="32">P104+U104+W104</f>
        <v>1185.6989695089933</v>
      </c>
      <c r="Y104" s="120">
        <f t="shared" ref="Y104:Y135" si="33">X104-R104</f>
        <v>502.05961964129824</v>
      </c>
      <c r="Z104" s="20">
        <f t="shared" ref="Z104:Z135" si="34">IF(Y104&lt;0,(Y104*I104)+(H104*(1-G104)),((Y104*M104)+H104)*(1-G104))</f>
        <v>100.81679125559427</v>
      </c>
      <c r="AA104" s="20">
        <f t="shared" ref="AA104:AA115" si="35">IF(Y104&gt;0,0,-Y104*$I104)</f>
        <v>0</v>
      </c>
      <c r="AB104" s="21">
        <f t="shared" ref="AB104:AB135" si="36">IF($B104="Income Eligible",IF(Y104&lt;0,(Y104*I104)+H104,((Y104*M104)+H104)),0)</f>
        <v>173.82205388895562</v>
      </c>
      <c r="AC104" s="185" t="str">
        <f t="shared" si="25"/>
        <v>Income EligiblePropaneDuctlessYes</v>
      </c>
      <c r="AD104" t="s">
        <v>27</v>
      </c>
      <c r="AI104" s="58"/>
    </row>
    <row r="105" spans="2:35" x14ac:dyDescent="0.25">
      <c r="B105" s="36" t="s">
        <v>117</v>
      </c>
      <c r="C105" t="s">
        <v>160</v>
      </c>
      <c r="D105" t="s">
        <v>131</v>
      </c>
      <c r="E105" t="s">
        <v>233</v>
      </c>
      <c r="F105" s="18" t="s">
        <v>102</v>
      </c>
      <c r="G105" s="239">
        <f>IF($B105="Residential",0,Inputs!$E$103)</f>
        <v>0.42</v>
      </c>
      <c r="H105" s="162">
        <f>Inputs!$E$98/12</f>
        <v>10</v>
      </c>
      <c r="I105" s="184">
        <f>INDEX(Inputs!$D$114:$D$125,MATCH(F105,Inputs!$C$114:$C$125,0))</f>
        <v>3.5580000000000001E-2</v>
      </c>
      <c r="J105" s="161">
        <f>Inputs!$E$100</f>
        <v>0.29464000000000001</v>
      </c>
      <c r="K105" s="139">
        <f>Inputs!$E$101</f>
        <v>2.8649999999999998E-2</v>
      </c>
      <c r="L105" s="791">
        <f>EES!$I$23</f>
        <v>3.0100000000000023E-3</v>
      </c>
      <c r="M105" s="190">
        <f t="shared" si="30"/>
        <v>0.32630000000000003</v>
      </c>
      <c r="N105" s="192" t="str">
        <f t="shared" si="19"/>
        <v>R2RESASST</v>
      </c>
      <c r="O105" s="134">
        <f>SUMIFS(Sales!$E$7:$E$54,Sales!$B$7:$B$54,$F105,Sales!$C$7:$C$54,$N105)/SUMIFS(Sales!$E$7:$E$54,Sales!$C$7:$C$54,$N105)</f>
        <v>8.696932108954479E-2</v>
      </c>
      <c r="P105" s="120">
        <f>O105*(INDEX(Annual!$O$9:$O$22,MATCH($AC105,Annual!$AD$9:$AD$22,0)))</f>
        <v>495.72513021040533</v>
      </c>
      <c r="Q105" s="134">
        <f>INDEX(Inputs!$E$114:$E$125,MATCH(F105,Inputs!$C$114:$C$125,0))</f>
        <v>7.056160122921061E-2</v>
      </c>
      <c r="R105" s="840">
        <f>Q105*INDEX(Annual!$U$9:$U$22,MATCH(AC105,Annual!$AD$9:$AD$22,0))</f>
        <v>813.41061843659679</v>
      </c>
      <c r="S105" s="164">
        <f t="shared" si="31"/>
        <v>153.94121318159975</v>
      </c>
      <c r="T105" s="165">
        <f>INDEX(Inputs!$F$114:$F$125,MATCH(F105,Inputs!$C$114:$C$125,0))</f>
        <v>0.2087896043217988</v>
      </c>
      <c r="U105" s="264">
        <f>T105*IF(D105="HP prior to CVEO",INDEX(Annual!$P$9:$P$22,MATCH(AC105,Annual!$AD$9:$AD$22,0)),INDEX(Annual!$V$9:$V$22,MATCH(AC105,Annual!$AD$9:$AD$22,0)))</f>
        <v>844.97292062101519</v>
      </c>
      <c r="V105" s="222">
        <f>IF(E105="No",0,_xlfn.IFNA(INDEX(Inputs!$E$50:$E$53,MATCH("Events in "&amp;F105,Inputs!$C$50:$C$53,0)),0)*Inputs!$E$46*Inputs!$E$54)</f>
        <v>0</v>
      </c>
      <c r="W105" s="166">
        <f>V105*(1-Inputs!$E$48)</f>
        <v>0</v>
      </c>
      <c r="X105" s="120">
        <f t="shared" si="32"/>
        <v>1340.6980508314205</v>
      </c>
      <c r="Y105" s="120">
        <f t="shared" si="33"/>
        <v>527.28743239482367</v>
      </c>
      <c r="Z105" s="20">
        <f t="shared" si="34"/>
        <v>105.59125573044999</v>
      </c>
      <c r="AA105" s="20">
        <f t="shared" si="35"/>
        <v>0</v>
      </c>
      <c r="AB105" s="21">
        <f t="shared" si="36"/>
        <v>182.05388919043099</v>
      </c>
      <c r="AC105" s="185" t="str">
        <f t="shared" si="25"/>
        <v>Income EligiblePropaneDuctlessYes</v>
      </c>
      <c r="AD105" t="s">
        <v>27</v>
      </c>
      <c r="AI105" s="58"/>
    </row>
    <row r="106" spans="2:35" x14ac:dyDescent="0.25">
      <c r="B106" s="36" t="s">
        <v>117</v>
      </c>
      <c r="C106" t="s">
        <v>160</v>
      </c>
      <c r="D106" t="s">
        <v>131</v>
      </c>
      <c r="E106" t="s">
        <v>233</v>
      </c>
      <c r="F106" s="18" t="s">
        <v>103</v>
      </c>
      <c r="G106" s="239">
        <f>IF($B106="Residential",0,Inputs!$E$103)</f>
        <v>0.42</v>
      </c>
      <c r="H106" s="162">
        <f>Inputs!$E$98/12</f>
        <v>10</v>
      </c>
      <c r="I106" s="184">
        <f>INDEX(Inputs!$D$114:$D$125,MATCH(F106,Inputs!$C$114:$C$125,0))</f>
        <v>3.8429999999999999E-2</v>
      </c>
      <c r="J106" s="161">
        <f>Inputs!$E$100</f>
        <v>0.29464000000000001</v>
      </c>
      <c r="K106" s="139">
        <f>Inputs!$E$101</f>
        <v>2.8649999999999998E-2</v>
      </c>
      <c r="L106" s="791">
        <f>EES!$I$23</f>
        <v>3.0100000000000023E-3</v>
      </c>
      <c r="M106" s="190">
        <f t="shared" si="30"/>
        <v>0.32630000000000003</v>
      </c>
      <c r="N106" s="192" t="str">
        <f t="shared" si="19"/>
        <v>R2RESASST</v>
      </c>
      <c r="O106" s="134">
        <f>SUMIFS(Sales!$E$7:$E$54,Sales!$B$7:$B$54,$F106,Sales!$C$7:$C$54,$N106)/SUMIFS(Sales!$E$7:$E$54,Sales!$C$7:$C$54,$N106)</f>
        <v>8.0952699753921803E-2</v>
      </c>
      <c r="P106" s="120">
        <f>O106*(INDEX(Annual!$O$9:$O$22,MATCH($AC106,Annual!$AD$9:$AD$22,0)))</f>
        <v>461.43038859735429</v>
      </c>
      <c r="Q106" s="134">
        <f>INDEX(Inputs!$E$114:$E$125,MATCH(F106,Inputs!$C$114:$C$125,0))</f>
        <v>9.1691796536674613E-2</v>
      </c>
      <c r="R106" s="840">
        <f>Q106*INDEX(Annual!$U$9:$U$22,MATCH(AC106,Annual!$AD$9:$AD$22,0))</f>
        <v>1056.9924665426061</v>
      </c>
      <c r="S106" s="164">
        <f t="shared" si="31"/>
        <v>200.04005226305441</v>
      </c>
      <c r="T106" s="165">
        <f>INDEX(Inputs!$F$114:$F$125,MATCH(F106,Inputs!$C$114:$C$125,0))</f>
        <v>0.14002044094028326</v>
      </c>
      <c r="U106" s="264">
        <f>T106*IF(D106="HP prior to CVEO",INDEX(Annual!$P$9:$P$22,MATCH(AC106,Annual!$AD$9:$AD$22,0)),INDEX(Annual!$V$9:$V$22,MATCH(AC106,Annual!$AD$9:$AD$22,0)))</f>
        <v>566.66365795493266</v>
      </c>
      <c r="V106" s="222">
        <f>IF(E106="No",0,_xlfn.IFNA(INDEX(Inputs!$E$50:$E$53,MATCH("Events in "&amp;F106,Inputs!$C$50:$C$53,0)),0)*Inputs!$E$46*Inputs!$E$54)</f>
        <v>0</v>
      </c>
      <c r="W106" s="166">
        <f>V106*(1-Inputs!$E$48)</f>
        <v>0</v>
      </c>
      <c r="X106" s="120">
        <f t="shared" si="32"/>
        <v>1028.094046552287</v>
      </c>
      <c r="Y106" s="120">
        <f t="shared" si="33"/>
        <v>-28.898419990319098</v>
      </c>
      <c r="Z106" s="20">
        <f t="shared" si="34"/>
        <v>4.6894337197720377</v>
      </c>
      <c r="AA106" s="20">
        <f t="shared" si="35"/>
        <v>1.110566280227963</v>
      </c>
      <c r="AB106" s="21">
        <f t="shared" si="36"/>
        <v>8.8894337197720361</v>
      </c>
      <c r="AC106" s="185" t="str">
        <f t="shared" si="25"/>
        <v>Income EligiblePropaneDuctlessYes</v>
      </c>
      <c r="AD106" t="s">
        <v>27</v>
      </c>
      <c r="AI106" s="58"/>
    </row>
    <row r="107" spans="2:35" x14ac:dyDescent="0.25">
      <c r="B107" s="36" t="s">
        <v>117</v>
      </c>
      <c r="C107" t="s">
        <v>160</v>
      </c>
      <c r="D107" t="s">
        <v>131</v>
      </c>
      <c r="E107" t="s">
        <v>233</v>
      </c>
      <c r="F107" s="18" t="s">
        <v>104</v>
      </c>
      <c r="G107" s="239">
        <f>IF($B107="Residential",0,Inputs!$E$103)</f>
        <v>0.42</v>
      </c>
      <c r="H107" s="162">
        <f>Inputs!$E$98/12</f>
        <v>10</v>
      </c>
      <c r="I107" s="184">
        <f>INDEX(Inputs!$D$114:$D$125,MATCH(F107,Inputs!$C$114:$C$125,0))</f>
        <v>3.9399999999999998E-2</v>
      </c>
      <c r="J107" s="161">
        <f>Inputs!$E$100</f>
        <v>0.29464000000000001</v>
      </c>
      <c r="K107" s="139">
        <f>Inputs!$E$101</f>
        <v>2.8649999999999998E-2</v>
      </c>
      <c r="L107" s="791">
        <f>EES!$I$23</f>
        <v>3.0100000000000023E-3</v>
      </c>
      <c r="M107" s="190">
        <f t="shared" si="30"/>
        <v>0.32630000000000003</v>
      </c>
      <c r="N107" s="192" t="str">
        <f t="shared" si="19"/>
        <v>R2RESASST</v>
      </c>
      <c r="O107" s="134">
        <f>SUMIFS(Sales!$E$7:$E$54,Sales!$B$7:$B$54,$F107,Sales!$C$7:$C$54,$N107)/SUMIFS(Sales!$E$7:$E$54,Sales!$C$7:$C$54,$N107)</f>
        <v>7.557098328361167E-2</v>
      </c>
      <c r="P107" s="120">
        <f>O107*(INDEX(Annual!$O$9:$O$22,MATCH($AC107,Annual!$AD$9:$AD$22,0)))</f>
        <v>430.75460471658653</v>
      </c>
      <c r="Q107" s="134">
        <f>INDEX(Inputs!$E$114:$E$125,MATCH(F107,Inputs!$C$114:$C$125,0))</f>
        <v>9.5902218316044743E-2</v>
      </c>
      <c r="R107" s="840">
        <f>Q107*INDEX(Annual!$U$9:$U$22,MATCH(AC107,Annual!$AD$9:$AD$22,0))</f>
        <v>1105.5288053412585</v>
      </c>
      <c r="S107" s="164">
        <f t="shared" si="31"/>
        <v>209.22574852605459</v>
      </c>
      <c r="T107" s="165">
        <f>INDEX(Inputs!$F$114:$F$125,MATCH(F107,Inputs!$C$114:$C$125,0))</f>
        <v>8.1909767849321066E-2</v>
      </c>
      <c r="U107" s="264">
        <f>T107*IF(D107="HP prior to CVEO",INDEX(Annual!$P$9:$P$22,MATCH(AC107,Annual!$AD$9:$AD$22,0)),INDEX(Annual!$V$9:$V$22,MATCH(AC107,Annual!$AD$9:$AD$22,0)))</f>
        <v>331.48937655132136</v>
      </c>
      <c r="V107" s="222">
        <f>IF(E107="No",0,_xlfn.IFNA(INDEX(Inputs!$E$50:$E$53,MATCH("Events in "&amp;F107,Inputs!$C$50:$C$53,0)),0)*Inputs!$E$46*Inputs!$E$54)</f>
        <v>0</v>
      </c>
      <c r="W107" s="166">
        <f>V107*(1-Inputs!$E$48)</f>
        <v>0</v>
      </c>
      <c r="X107" s="120">
        <f t="shared" si="32"/>
        <v>762.24398126790788</v>
      </c>
      <c r="Y107" s="120">
        <f t="shared" si="33"/>
        <v>-343.28482407335059</v>
      </c>
      <c r="Z107" s="20">
        <f t="shared" si="34"/>
        <v>-7.7254220684900119</v>
      </c>
      <c r="AA107" s="20">
        <f t="shared" si="35"/>
        <v>13.525422068490013</v>
      </c>
      <c r="AB107" s="21">
        <f t="shared" si="36"/>
        <v>-3.5254220684900126</v>
      </c>
      <c r="AC107" s="185" t="str">
        <f t="shared" si="25"/>
        <v>Income EligiblePropaneDuctlessYes</v>
      </c>
      <c r="AD107" t="s">
        <v>27</v>
      </c>
      <c r="AI107" s="58"/>
    </row>
    <row r="108" spans="2:35" x14ac:dyDescent="0.25">
      <c r="B108" s="36" t="s">
        <v>117</v>
      </c>
      <c r="C108" t="s">
        <v>160</v>
      </c>
      <c r="D108" t="s">
        <v>131</v>
      </c>
      <c r="E108" t="s">
        <v>233</v>
      </c>
      <c r="F108" s="18" t="s">
        <v>105</v>
      </c>
      <c r="G108" s="239">
        <f>IF($B108="Residential",0,Inputs!$E$103)</f>
        <v>0.42</v>
      </c>
      <c r="H108" s="162">
        <f>Inputs!$E$98/12</f>
        <v>10</v>
      </c>
      <c r="I108" s="184">
        <f>INDEX(Inputs!$D$114:$D$125,MATCH(F108,Inputs!$C$114:$C$125,0))</f>
        <v>4.827E-2</v>
      </c>
      <c r="J108" s="161">
        <f>Inputs!$E$100</f>
        <v>0.29464000000000001</v>
      </c>
      <c r="K108" s="139">
        <f>Inputs!$E$101</f>
        <v>2.8649999999999998E-2</v>
      </c>
      <c r="L108" s="791">
        <f>EES!$I$23</f>
        <v>3.0100000000000023E-3</v>
      </c>
      <c r="M108" s="190">
        <f t="shared" si="30"/>
        <v>0.32630000000000003</v>
      </c>
      <c r="N108" s="192" t="str">
        <f t="shared" si="19"/>
        <v>R2RESASST</v>
      </c>
      <c r="O108" s="134">
        <f>SUMIFS(Sales!$E$7:$E$54,Sales!$B$7:$B$54,$F108,Sales!$C$7:$C$54,$N108)/SUMIFS(Sales!$E$7:$E$54,Sales!$C$7:$C$54,$N108)</f>
        <v>6.7854031841022025E-2</v>
      </c>
      <c r="P108" s="120">
        <f>O108*(INDEX(Annual!$O$9:$O$22,MATCH($AC108,Annual!$AD$9:$AD$22,0)))</f>
        <v>386.76798149382552</v>
      </c>
      <c r="Q108" s="134">
        <f>INDEX(Inputs!$E$114:$E$125,MATCH(F108,Inputs!$C$114:$C$125,0))</f>
        <v>0.10405019139401983</v>
      </c>
      <c r="R108" s="840">
        <f>Q108*INDEX(Annual!$U$9:$U$22,MATCH(AC108,Annual!$AD$9:$AD$22,0))</f>
        <v>1199.4559229931292</v>
      </c>
      <c r="S108" s="164">
        <f t="shared" si="31"/>
        <v>227.00183125014172</v>
      </c>
      <c r="T108" s="165">
        <f>INDEX(Inputs!$F$114:$F$125,MATCH(F108,Inputs!$C$114:$C$125,0))</f>
        <v>5.577456563001898E-2</v>
      </c>
      <c r="U108" s="264">
        <f>T108*IF(D108="HP prior to CVEO",INDEX(Annual!$P$9:$P$22,MATCH(AC108,Annual!$AD$9:$AD$22,0)),INDEX(Annual!$V$9:$V$22,MATCH(AC108,Annual!$AD$9:$AD$22,0)))</f>
        <v>225.72003893512434</v>
      </c>
      <c r="V108" s="222">
        <f>IF(E108="No",0,_xlfn.IFNA(INDEX(Inputs!$E$50:$E$53,MATCH("Events in "&amp;F108,Inputs!$C$50:$C$53,0)),0)*Inputs!$E$46*Inputs!$E$54)</f>
        <v>0</v>
      </c>
      <c r="W108" s="166">
        <f>V108*(1-Inputs!$E$48)</f>
        <v>0</v>
      </c>
      <c r="X108" s="120">
        <f t="shared" si="32"/>
        <v>612.48802042894988</v>
      </c>
      <c r="Y108" s="120">
        <f t="shared" si="33"/>
        <v>-586.96790256417933</v>
      </c>
      <c r="Z108" s="20">
        <f t="shared" si="34"/>
        <v>-22.532940656772936</v>
      </c>
      <c r="AA108" s="20">
        <f t="shared" si="35"/>
        <v>28.332940656772937</v>
      </c>
      <c r="AB108" s="21">
        <f t="shared" si="36"/>
        <v>-18.332940656772937</v>
      </c>
      <c r="AC108" s="185" t="str">
        <f t="shared" si="25"/>
        <v>Income EligiblePropaneDuctlessYes</v>
      </c>
      <c r="AD108" t="s">
        <v>27</v>
      </c>
      <c r="AI108" s="58"/>
    </row>
    <row r="109" spans="2:35" x14ac:dyDescent="0.25">
      <c r="B109" s="36" t="s">
        <v>117</v>
      </c>
      <c r="C109" t="s">
        <v>160</v>
      </c>
      <c r="D109" t="s">
        <v>131</v>
      </c>
      <c r="E109" t="s">
        <v>233</v>
      </c>
      <c r="F109" s="18" t="s">
        <v>106</v>
      </c>
      <c r="G109" s="239">
        <f>IF($B109="Residential",0,Inputs!$E$103)</f>
        <v>0.42</v>
      </c>
      <c r="H109" s="162">
        <f>Inputs!$E$98/12</f>
        <v>10</v>
      </c>
      <c r="I109" s="184">
        <f>INDEX(Inputs!$D$114:$D$125,MATCH(F109,Inputs!$C$114:$C$125,0))</f>
        <v>5.8689999999999999E-2</v>
      </c>
      <c r="J109" s="161">
        <f>Inputs!$E$100</f>
        <v>0.29464000000000001</v>
      </c>
      <c r="K109" s="139">
        <f>Inputs!$E$101</f>
        <v>2.8649999999999998E-2</v>
      </c>
      <c r="L109" s="791">
        <f>EES!$I$23</f>
        <v>3.0100000000000023E-3</v>
      </c>
      <c r="M109" s="190">
        <f t="shared" si="30"/>
        <v>0.32630000000000003</v>
      </c>
      <c r="N109" s="192" t="str">
        <f t="shared" si="19"/>
        <v>R2RESASST</v>
      </c>
      <c r="O109" s="134">
        <f>SUMIFS(Sales!$E$7:$E$54,Sales!$B$7:$B$54,$F109,Sales!$C$7:$C$54,$N109)/SUMIFS(Sales!$E$7:$E$54,Sales!$C$7:$C$54,$N109)</f>
        <v>7.0581775183959652E-2</v>
      </c>
      <c r="P109" s="120">
        <f>O109*(INDEX(Annual!$O$9:$O$22,MATCH($AC109,Annual!$AD$9:$AD$22,0)))</f>
        <v>402.31611854857005</v>
      </c>
      <c r="Q109" s="134">
        <f>INDEX(Inputs!$E$114:$E$125,MATCH(F109,Inputs!$C$114:$C$125,0))</f>
        <v>9.7397110361162206E-2</v>
      </c>
      <c r="R109" s="840">
        <f>Q109*INDEX(Annual!$U$9:$U$22,MATCH(AC109,Annual!$AD$9:$AD$22,0))</f>
        <v>1122.7614225400241</v>
      </c>
      <c r="S109" s="164">
        <f t="shared" si="31"/>
        <v>212.48709026138977</v>
      </c>
      <c r="T109" s="165">
        <f>INDEX(Inputs!$F$114:$F$125,MATCH(F109,Inputs!$C$114:$C$125,0))</f>
        <v>2.044094028325303E-2</v>
      </c>
      <c r="U109" s="264">
        <f>T109*IF(D109="HP prior to CVEO",INDEX(Annual!$P$9:$P$22,MATCH(AC109,Annual!$AD$9:$AD$22,0)),INDEX(Annual!$V$9:$V$22,MATCH(AC109,Annual!$AD$9:$AD$22,0)))</f>
        <v>82.724621599260232</v>
      </c>
      <c r="V109" s="222">
        <f>IF(E109="No",0,_xlfn.IFNA(INDEX(Inputs!$E$50:$E$53,MATCH("Events in "&amp;F109,Inputs!$C$50:$C$53,0)),0)*Inputs!$E$46*Inputs!$E$54)</f>
        <v>13.56</v>
      </c>
      <c r="W109" s="166">
        <f>V109*(1-Inputs!$E$48)</f>
        <v>1.3559999999999997</v>
      </c>
      <c r="X109" s="120">
        <f t="shared" si="32"/>
        <v>486.39674014783026</v>
      </c>
      <c r="Y109" s="120">
        <f t="shared" si="33"/>
        <v>-636.3646823921938</v>
      </c>
      <c r="Z109" s="20">
        <f t="shared" si="34"/>
        <v>-31.548243209597853</v>
      </c>
      <c r="AA109" s="20">
        <f t="shared" si="35"/>
        <v>37.348243209597854</v>
      </c>
      <c r="AB109" s="21">
        <f t="shared" si="36"/>
        <v>-27.348243209597854</v>
      </c>
      <c r="AC109" s="185" t="str">
        <f t="shared" si="25"/>
        <v>Income EligiblePropaneDuctlessYes</v>
      </c>
      <c r="AD109" t="s">
        <v>27</v>
      </c>
      <c r="AI109" s="58"/>
    </row>
    <row r="110" spans="2:35" x14ac:dyDescent="0.25">
      <c r="B110" s="36" t="s">
        <v>117</v>
      </c>
      <c r="C110" t="s">
        <v>160</v>
      </c>
      <c r="D110" t="s">
        <v>131</v>
      </c>
      <c r="E110" t="s">
        <v>233</v>
      </c>
      <c r="F110" s="18" t="s">
        <v>107</v>
      </c>
      <c r="G110" s="239">
        <f>IF($B110="Residential",0,Inputs!$E$103)</f>
        <v>0.42</v>
      </c>
      <c r="H110" s="162">
        <f>Inputs!$E$98/12</f>
        <v>10</v>
      </c>
      <c r="I110" s="184">
        <f>INDEX(Inputs!$D$114:$D$125,MATCH(F110,Inputs!$C$114:$C$125,0))</f>
        <v>5.5409999999999994E-2</v>
      </c>
      <c r="J110" s="161">
        <f>Inputs!$E$100</f>
        <v>0.29464000000000001</v>
      </c>
      <c r="K110" s="139">
        <f>Inputs!$E$101</f>
        <v>2.8649999999999998E-2</v>
      </c>
      <c r="L110" s="791">
        <f>EES!$I$23</f>
        <v>3.0100000000000023E-3</v>
      </c>
      <c r="M110" s="190">
        <f t="shared" si="30"/>
        <v>0.32630000000000003</v>
      </c>
      <c r="N110" s="192" t="str">
        <f t="shared" si="19"/>
        <v>R2RESASST</v>
      </c>
      <c r="O110" s="134">
        <f>SUMIFS(Sales!$E$7:$E$54,Sales!$B$7:$B$54,$F110,Sales!$C$7:$C$54,$N110)/SUMIFS(Sales!$E$7:$E$54,Sales!$C$7:$C$54,$N110)</f>
        <v>0.10401220728411072</v>
      </c>
      <c r="P110" s="120">
        <f>O110*(INDEX(Annual!$O$9:$O$22,MATCH($AC110,Annual!$AD$9:$AD$22,0)))</f>
        <v>592.86958151943111</v>
      </c>
      <c r="Q110" s="134">
        <f>INDEX(Inputs!$E$114:$E$125,MATCH(F110,Inputs!$C$114:$C$125,0))</f>
        <v>0.10459025798272056</v>
      </c>
      <c r="R110" s="840">
        <f>Q110*INDEX(Annual!$U$9:$U$22,MATCH(AC110,Annual!$AD$9:$AD$22,0))</f>
        <v>1205.681630605475</v>
      </c>
      <c r="S110" s="164">
        <f t="shared" si="31"/>
        <v>228.18007131860861</v>
      </c>
      <c r="T110" s="165">
        <f>INDEX(Inputs!$F$114:$F$125,MATCH(F110,Inputs!$C$114:$C$125,0))</f>
        <v>3.9421813403416554E-3</v>
      </c>
      <c r="U110" s="264">
        <f>T110*IF(D110="HP prior to CVEO",INDEX(Annual!$P$9:$P$22,MATCH(AC110,Annual!$AD$9:$AD$22,0)),INDEX(Annual!$V$9:$V$22,MATCH(AC110,Annual!$AD$9:$AD$22,0)))</f>
        <v>15.954034165571615</v>
      </c>
      <c r="V110" s="222">
        <f>IF(E110="No",0,_xlfn.IFNA(INDEX(Inputs!$E$50:$E$53,MATCH("Events in "&amp;F110,Inputs!$C$50:$C$53,0)),0)*Inputs!$E$46*Inputs!$E$54)</f>
        <v>183.06</v>
      </c>
      <c r="W110" s="166">
        <f>V110*(1-Inputs!$E$48)</f>
        <v>18.305999999999997</v>
      </c>
      <c r="X110" s="120">
        <f t="shared" si="32"/>
        <v>627.12961568500282</v>
      </c>
      <c r="Y110" s="120">
        <f t="shared" si="33"/>
        <v>-578.55201492047217</v>
      </c>
      <c r="Z110" s="20">
        <f t="shared" si="34"/>
        <v>-26.257567146743359</v>
      </c>
      <c r="AA110" s="20">
        <f t="shared" si="35"/>
        <v>32.057567146743359</v>
      </c>
      <c r="AB110" s="21">
        <f t="shared" si="36"/>
        <v>-22.057567146743359</v>
      </c>
      <c r="AC110" s="185" t="str">
        <f t="shared" si="25"/>
        <v>Income EligiblePropaneDuctlessYes</v>
      </c>
      <c r="AD110" t="s">
        <v>27</v>
      </c>
      <c r="AI110" s="58"/>
    </row>
    <row r="111" spans="2:35" x14ac:dyDescent="0.25">
      <c r="B111" s="36" t="s">
        <v>117</v>
      </c>
      <c r="C111" t="s">
        <v>160</v>
      </c>
      <c r="D111" t="s">
        <v>131</v>
      </c>
      <c r="E111" t="s">
        <v>233</v>
      </c>
      <c r="F111" s="18" t="s">
        <v>108</v>
      </c>
      <c r="G111" s="239">
        <f>IF($B111="Residential",0,Inputs!$E$103)</f>
        <v>0.42</v>
      </c>
      <c r="H111" s="162">
        <f>Inputs!$E$98/12</f>
        <v>10</v>
      </c>
      <c r="I111" s="184">
        <f>INDEX(Inputs!$D$114:$D$125,MATCH(F111,Inputs!$C$114:$C$125,0))</f>
        <v>5.1479999999999998E-2</v>
      </c>
      <c r="J111" s="161">
        <f>Inputs!$E$100</f>
        <v>0.29464000000000001</v>
      </c>
      <c r="K111" s="139">
        <f>Inputs!$E$101</f>
        <v>2.8649999999999998E-2</v>
      </c>
      <c r="L111" s="791">
        <f>EES!$I$23</f>
        <v>3.0100000000000023E-3</v>
      </c>
      <c r="M111" s="190">
        <f t="shared" si="30"/>
        <v>0.32630000000000003</v>
      </c>
      <c r="N111" s="192" t="str">
        <f t="shared" si="19"/>
        <v>R2RESASST</v>
      </c>
      <c r="O111" s="134">
        <f>SUMIFS(Sales!$E$7:$E$54,Sales!$B$7:$B$54,$F111,Sales!$C$7:$C$54,$N111)/SUMIFS(Sales!$E$7:$E$54,Sales!$C$7:$C$54,$N111)</f>
        <v>0.11294527063791739</v>
      </c>
      <c r="P111" s="120">
        <f>O111*(INDEX(Annual!$O$9:$O$22,MATCH($AC111,Annual!$AD$9:$AD$22,0)))</f>
        <v>643.78804263612915</v>
      </c>
      <c r="Q111" s="134">
        <f>INDEX(Inputs!$E$114:$E$125,MATCH(F111,Inputs!$C$114:$C$125,0))</f>
        <v>9.9163535033348085E-2</v>
      </c>
      <c r="R111" s="840">
        <f>Q111*INDEX(Annual!$U$9:$U$22,MATCH(AC111,Annual!$AD$9:$AD$22,0))</f>
        <v>1143.1241773527588</v>
      </c>
      <c r="S111" s="164">
        <f t="shared" si="31"/>
        <v>216.34082306071909</v>
      </c>
      <c r="T111" s="165">
        <f>INDEX(Inputs!$F$114:$F$125,MATCH(F111,Inputs!$C$114:$C$125,0))</f>
        <v>5.5482552197401083E-3</v>
      </c>
      <c r="U111" s="264">
        <f>T111*IF(D111="HP prior to CVEO",INDEX(Annual!$P$9:$P$22,MATCH(AC111,Annual!$AD$9:$AD$22,0)),INDEX(Annual!$V$9:$V$22,MATCH(AC111,Annual!$AD$9:$AD$22,0)))</f>
        <v>22.453825862656348</v>
      </c>
      <c r="V111" s="222">
        <f>IF(E111="No",0,_xlfn.IFNA(INDEX(Inputs!$E$50:$E$53,MATCH("Events in "&amp;F111,Inputs!$C$50:$C$53,0)),0)*Inputs!$E$46*Inputs!$E$54)</f>
        <v>108.48</v>
      </c>
      <c r="W111" s="166">
        <f>V111*(1-Inputs!$E$48)</f>
        <v>10.847999999999997</v>
      </c>
      <c r="X111" s="120">
        <f t="shared" si="32"/>
        <v>677.08986849878545</v>
      </c>
      <c r="Y111" s="120">
        <f t="shared" si="33"/>
        <v>-466.03430885397336</v>
      </c>
      <c r="Z111" s="20">
        <f t="shared" si="34"/>
        <v>-18.191446219802547</v>
      </c>
      <c r="AA111" s="20">
        <f t="shared" si="35"/>
        <v>23.991446219802548</v>
      </c>
      <c r="AB111" s="21">
        <f t="shared" si="36"/>
        <v>-13.991446219802548</v>
      </c>
      <c r="AC111" s="185" t="str">
        <f t="shared" si="25"/>
        <v>Income EligiblePropaneDuctlessYes</v>
      </c>
      <c r="AD111" t="s">
        <v>27</v>
      </c>
      <c r="AI111" s="58"/>
    </row>
    <row r="112" spans="2:35" x14ac:dyDescent="0.25">
      <c r="B112" s="36" t="s">
        <v>117</v>
      </c>
      <c r="C112" t="s">
        <v>160</v>
      </c>
      <c r="D112" t="s">
        <v>131</v>
      </c>
      <c r="E112" t="s">
        <v>233</v>
      </c>
      <c r="F112" s="18" t="s">
        <v>109</v>
      </c>
      <c r="G112" s="239">
        <f>IF($B112="Residential",0,Inputs!$E$103)</f>
        <v>0.42</v>
      </c>
      <c r="H112" s="162">
        <f>Inputs!$E$98/12</f>
        <v>10</v>
      </c>
      <c r="I112" s="184">
        <f>INDEX(Inputs!$D$114:$D$125,MATCH(F112,Inputs!$C$114:$C$125,0))</f>
        <v>5.4880000000000005E-2</v>
      </c>
      <c r="J112" s="161">
        <f>Inputs!$E$100</f>
        <v>0.29464000000000001</v>
      </c>
      <c r="K112" s="139">
        <f>Inputs!$E$101</f>
        <v>2.8649999999999998E-2</v>
      </c>
      <c r="L112" s="791">
        <f>EES!$I$23</f>
        <v>3.0100000000000023E-3</v>
      </c>
      <c r="M112" s="190">
        <f t="shared" si="30"/>
        <v>0.32630000000000003</v>
      </c>
      <c r="N112" s="192" t="str">
        <f t="shared" si="19"/>
        <v>R2RESASST</v>
      </c>
      <c r="O112" s="134">
        <f>SUMIFS(Sales!$E$7:$E$54,Sales!$B$7:$B$54,$F112,Sales!$C$7:$C$54,$N112)/SUMIFS(Sales!$E$7:$E$54,Sales!$C$7:$C$54,$N112)</f>
        <v>8.9486160574449899E-2</v>
      </c>
      <c r="P112" s="120">
        <f>O112*(INDEX(Annual!$O$9:$O$22,MATCH($AC112,Annual!$AD$9:$AD$22,0)))</f>
        <v>510.07111527436444</v>
      </c>
      <c r="Q112" s="134">
        <f>INDEX(Inputs!$E$114:$E$125,MATCH(F112,Inputs!$C$114:$C$125,0))</f>
        <v>9.3858976615798895E-2</v>
      </c>
      <c r="R112" s="840">
        <f>Q112*INDEX(Annual!$U$9:$U$22,MATCH(AC112,Annual!$AD$9:$AD$22,0))</f>
        <v>1081.9749961013911</v>
      </c>
      <c r="S112" s="164">
        <f t="shared" si="31"/>
        <v>204.7680959121727</v>
      </c>
      <c r="T112" s="165">
        <f>INDEX(Inputs!$F$114:$F$125,MATCH(F112,Inputs!$C$114:$C$125,0))</f>
        <v>1.9272886552781428E-2</v>
      </c>
      <c r="U112" s="264">
        <f>T112*IF(D112="HP prior to CVEO",INDEX(Annual!$P$9:$P$22,MATCH(AC112,Annual!$AD$9:$AD$22,0)),INDEX(Annual!$V$9:$V$22,MATCH(AC112,Annual!$AD$9:$AD$22,0)))</f>
        <v>77.997500365016791</v>
      </c>
      <c r="V112" s="222">
        <f>IF(E112="No",0,_xlfn.IFNA(INDEX(Inputs!$E$50:$E$53,MATCH("Events in "&amp;F112,Inputs!$C$50:$C$53,0)),0)*Inputs!$E$46*Inputs!$E$54)</f>
        <v>0</v>
      </c>
      <c r="W112" s="166">
        <f>V112*(1-Inputs!$E$48)</f>
        <v>0</v>
      </c>
      <c r="X112" s="120">
        <f t="shared" si="32"/>
        <v>588.06861563938128</v>
      </c>
      <c r="Y112" s="120">
        <f t="shared" si="33"/>
        <v>-493.90638046200979</v>
      </c>
      <c r="Z112" s="20">
        <f t="shared" si="34"/>
        <v>-21.305582159755101</v>
      </c>
      <c r="AA112" s="20">
        <f t="shared" si="35"/>
        <v>27.105582159755102</v>
      </c>
      <c r="AB112" s="21">
        <f t="shared" si="36"/>
        <v>-17.105582159755102</v>
      </c>
      <c r="AC112" s="185" t="str">
        <f t="shared" si="25"/>
        <v>Income EligiblePropaneDuctlessYes</v>
      </c>
      <c r="AD112" t="s">
        <v>27</v>
      </c>
      <c r="AI112" s="58"/>
    </row>
    <row r="113" spans="2:35" x14ac:dyDescent="0.25">
      <c r="B113" s="36" t="s">
        <v>117</v>
      </c>
      <c r="C113" t="s">
        <v>160</v>
      </c>
      <c r="D113" t="s">
        <v>131</v>
      </c>
      <c r="E113" t="s">
        <v>233</v>
      </c>
      <c r="F113" s="18" t="s">
        <v>110</v>
      </c>
      <c r="G113" s="239">
        <f>IF($B113="Residential",0,Inputs!$E$103)</f>
        <v>0.42</v>
      </c>
      <c r="H113" s="162">
        <f>Inputs!$E$98/12</f>
        <v>10</v>
      </c>
      <c r="I113" s="184">
        <f>INDEX(Inputs!$D$114:$D$125,MATCH(F113,Inputs!$C$114:$C$125,0))</f>
        <v>5.9859999999999997E-2</v>
      </c>
      <c r="J113" s="161">
        <f>Inputs!$E$100</f>
        <v>0.29464000000000001</v>
      </c>
      <c r="K113" s="139">
        <f>Inputs!$E$101</f>
        <v>2.8649999999999998E-2</v>
      </c>
      <c r="L113" s="791">
        <f>EES!$I$23</f>
        <v>3.0100000000000023E-3</v>
      </c>
      <c r="M113" s="190">
        <f t="shared" si="30"/>
        <v>0.32630000000000003</v>
      </c>
      <c r="N113" s="192" t="str">
        <f t="shared" si="19"/>
        <v>R2RESASST</v>
      </c>
      <c r="O113" s="134">
        <f>SUMIFS(Sales!$E$7:$E$54,Sales!$B$7:$B$54,$F113,Sales!$C$7:$C$54,$N113)/SUMIFS(Sales!$E$7:$E$54,Sales!$C$7:$C$54,$N113)</f>
        <v>6.8945458928186681E-2</v>
      </c>
      <c r="P113" s="120">
        <f>O113*(INDEX(Annual!$O$9:$O$22,MATCH($AC113,Annual!$AD$9:$AD$22,0)))</f>
        <v>392.9891158906641</v>
      </c>
      <c r="Q113" s="134">
        <f>INDEX(Inputs!$E$114:$E$125,MATCH(F113,Inputs!$C$114:$C$125,0))</f>
        <v>7.6465910496739911E-2</v>
      </c>
      <c r="R113" s="840">
        <f>Q113*INDEX(Annual!$U$9:$U$22,MATCH(AC113,Annual!$AD$9:$AD$22,0))</f>
        <v>881.47352756958537</v>
      </c>
      <c r="S113" s="164">
        <f t="shared" si="31"/>
        <v>166.82239098665437</v>
      </c>
      <c r="T113" s="165">
        <f>INDEX(Inputs!$F$114:$F$125,MATCH(F113,Inputs!$C$114:$C$125,0))</f>
        <v>4.0589867133888159E-2</v>
      </c>
      <c r="U113" s="264">
        <f>T113*IF(D113="HP prior to CVEO",INDEX(Annual!$P$9:$P$22,MATCH(AC113,Annual!$AD$9:$AD$22,0)),INDEX(Annual!$V$9:$V$22,MATCH(AC113,Annual!$AD$9:$AD$22,0)))</f>
        <v>164.2674628899596</v>
      </c>
      <c r="V113" s="222">
        <f>IF(E113="No",0,_xlfn.IFNA(INDEX(Inputs!$E$50:$E$53,MATCH("Events in "&amp;F113,Inputs!$C$50:$C$53,0)),0)*Inputs!$E$46*Inputs!$E$54)</f>
        <v>0</v>
      </c>
      <c r="W113" s="166">
        <f>V113*(1-Inputs!$E$48)</f>
        <v>0</v>
      </c>
      <c r="X113" s="120">
        <f t="shared" si="32"/>
        <v>557.25657878062373</v>
      </c>
      <c r="Y113" s="120">
        <f t="shared" si="33"/>
        <v>-324.21694878896164</v>
      </c>
      <c r="Z113" s="20">
        <f t="shared" si="34"/>
        <v>-13.607626554507242</v>
      </c>
      <c r="AA113" s="20">
        <f t="shared" si="35"/>
        <v>19.407626554507242</v>
      </c>
      <c r="AB113" s="21">
        <f t="shared" si="36"/>
        <v>-9.4076265545072424</v>
      </c>
      <c r="AC113" s="185" t="str">
        <f t="shared" si="25"/>
        <v>Income EligiblePropaneDuctlessYes</v>
      </c>
      <c r="AD113" t="s">
        <v>27</v>
      </c>
      <c r="AI113" s="58"/>
    </row>
    <row r="114" spans="2:35" x14ac:dyDescent="0.25">
      <c r="B114" s="36" t="s">
        <v>117</v>
      </c>
      <c r="C114" t="s">
        <v>160</v>
      </c>
      <c r="D114" t="s">
        <v>131</v>
      </c>
      <c r="E114" t="s">
        <v>233</v>
      </c>
      <c r="F114" s="18" t="s">
        <v>111</v>
      </c>
      <c r="G114" s="239">
        <f>IF($B114="Residential",0,Inputs!$E$103)</f>
        <v>0.42</v>
      </c>
      <c r="H114" s="162">
        <f>Inputs!$E$98/12</f>
        <v>10</v>
      </c>
      <c r="I114" s="184">
        <f>INDEX(Inputs!$D$114:$D$125,MATCH(F114,Inputs!$C$114:$C$125,0))</f>
        <v>0.10368000000000001</v>
      </c>
      <c r="J114" s="161">
        <f>Inputs!$E$100</f>
        <v>0.29464000000000001</v>
      </c>
      <c r="K114" s="139">
        <f>Inputs!$E$101</f>
        <v>2.8649999999999998E-2</v>
      </c>
      <c r="L114" s="791">
        <f>EES!$I$23</f>
        <v>3.0100000000000023E-3</v>
      </c>
      <c r="M114" s="190">
        <f t="shared" si="30"/>
        <v>0.32630000000000003</v>
      </c>
      <c r="N114" s="192" t="str">
        <f t="shared" si="19"/>
        <v>R2RESASST</v>
      </c>
      <c r="O114" s="134">
        <f>SUMIFS(Sales!$E$7:$E$54,Sales!$B$7:$B$54,$F114,Sales!$C$7:$C$54,$N114)/SUMIFS(Sales!$E$7:$E$54,Sales!$C$7:$C$54,$N114)</f>
        <v>6.1773805060155777E-2</v>
      </c>
      <c r="P114" s="120">
        <f>O114*(INDEX(Annual!$O$9:$O$22,MATCH($AC114,Annual!$AD$9:$AD$22,0)))</f>
        <v>352.11068884288795</v>
      </c>
      <c r="Q114" s="134">
        <f>INDEX(Inputs!$E$114:$E$125,MATCH(F114,Inputs!$C$114:$C$125,0))</f>
        <v>5.8509626541612472E-2</v>
      </c>
      <c r="R114" s="840">
        <f>Q114*INDEX(Annual!$U$9:$U$22,MATCH(AC114,Annual!$AD$9:$AD$22,0))</f>
        <v>674.47947156286136</v>
      </c>
      <c r="S114" s="164">
        <f t="shared" si="31"/>
        <v>127.64793791115778</v>
      </c>
      <c r="T114" s="165">
        <f>INDEX(Inputs!$F$114:$F$125,MATCH(F114,Inputs!$C$114:$C$125,0))</f>
        <v>0.10643889618922471</v>
      </c>
      <c r="U114" s="264">
        <f>T114*IF(D114="HP prior to CVEO",INDEX(Annual!$P$9:$P$22,MATCH(AC114,Annual!$AD$9:$AD$22,0)),INDEX(Annual!$V$9:$V$22,MATCH(AC114,Annual!$AD$9:$AD$22,0)))</f>
        <v>430.75892247043367</v>
      </c>
      <c r="V114" s="222">
        <f>IF(E114="No",0,_xlfn.IFNA(INDEX(Inputs!$E$50:$E$53,MATCH("Events in "&amp;F114,Inputs!$C$50:$C$53,0)),0)*Inputs!$E$46*Inputs!$E$54)</f>
        <v>0</v>
      </c>
      <c r="W114" s="166">
        <f>V114*(1-Inputs!$E$48)</f>
        <v>0</v>
      </c>
      <c r="X114" s="120">
        <f t="shared" si="32"/>
        <v>782.86961131332168</v>
      </c>
      <c r="Y114" s="120">
        <f t="shared" si="33"/>
        <v>108.39013975046032</v>
      </c>
      <c r="Z114" s="20">
        <f t="shared" si="34"/>
        <v>26.313267508333624</v>
      </c>
      <c r="AA114" s="20">
        <f t="shared" si="35"/>
        <v>0</v>
      </c>
      <c r="AB114" s="21">
        <f t="shared" si="36"/>
        <v>45.367702600575207</v>
      </c>
      <c r="AC114" s="185" t="str">
        <f t="shared" si="25"/>
        <v>Income EligiblePropaneDuctlessYes</v>
      </c>
      <c r="AD114" t="s">
        <v>27</v>
      </c>
      <c r="AI114" s="58"/>
    </row>
    <row r="115" spans="2:35" x14ac:dyDescent="0.25">
      <c r="B115" s="36" t="s">
        <v>117</v>
      </c>
      <c r="C115" t="s">
        <v>160</v>
      </c>
      <c r="D115" t="s">
        <v>131</v>
      </c>
      <c r="E115" t="s">
        <v>233</v>
      </c>
      <c r="F115" s="18" t="s">
        <v>112</v>
      </c>
      <c r="G115" s="239">
        <f>IF($B115="Residential",0,Inputs!$E$103)</f>
        <v>0.42</v>
      </c>
      <c r="H115" s="162">
        <f>Inputs!$E$98/12</f>
        <v>10</v>
      </c>
      <c r="I115" s="184">
        <f>INDEX(Inputs!$D$114:$D$125,MATCH(F115,Inputs!$C$114:$C$125,0))</f>
        <v>7.7920000000000003E-2</v>
      </c>
      <c r="J115" s="161">
        <f>Inputs!$E$100</f>
        <v>0.29464000000000001</v>
      </c>
      <c r="K115" s="139">
        <f>Inputs!$E$101</f>
        <v>2.8649999999999998E-2</v>
      </c>
      <c r="L115" s="791">
        <f>EES!$I$23</f>
        <v>3.0100000000000023E-3</v>
      </c>
      <c r="M115" s="190">
        <f t="shared" si="30"/>
        <v>0.32630000000000003</v>
      </c>
      <c r="N115" s="192" t="str">
        <f t="shared" si="19"/>
        <v>R2RESASST</v>
      </c>
      <c r="O115" s="134">
        <f>SUMIFS(Sales!$E$7:$E$54,Sales!$B$7:$B$54,$F115,Sales!$C$7:$C$54,$N115)/SUMIFS(Sales!$E$7:$E$54,Sales!$C$7:$C$54,$N115)</f>
        <v>8.8891990421156086E-2</v>
      </c>
      <c r="P115" s="120">
        <f>O115*(INDEX(Annual!$O$9:$O$22,MATCH($AC115,Annual!$AD$9:$AD$22,0)))</f>
        <v>506.68434540058968</v>
      </c>
      <c r="Q115" s="134">
        <f>INDEX(Inputs!$E$114:$E$125,MATCH(F115,Inputs!$C$114:$C$125,0))</f>
        <v>4.8504549439315578E-2</v>
      </c>
      <c r="R115" s="840">
        <f>Q115*INDEX(Annual!$U$9:$U$22,MATCH(AC115,Annual!$AD$9:$AD$22,0))</f>
        <v>559.14427775328352</v>
      </c>
      <c r="S115" s="164">
        <f t="shared" si="31"/>
        <v>105.82029114191994</v>
      </c>
      <c r="T115" s="165">
        <f>INDEX(Inputs!$F$114:$F$125,MATCH(F115,Inputs!$C$114:$C$125,0))</f>
        <v>0.15389107898963353</v>
      </c>
      <c r="U115" s="264">
        <f>T115*IF(D115="HP prior to CVEO",INDEX(Annual!$P$9:$P$22,MATCH(AC115,Annual!$AD$9:$AD$22,0)),INDEX(Annual!$V$9:$V$22,MATCH(AC115,Annual!$AD$9:$AD$22,0)))</f>
        <v>622.79822261157346</v>
      </c>
      <c r="V115" s="222">
        <f>IF(E115="No",0,_xlfn.IFNA(INDEX(Inputs!$E$50:$E$53,MATCH("Events in "&amp;F115,Inputs!$C$50:$C$53,0)),0)*Inputs!$E$46*Inputs!$E$54)</f>
        <v>0</v>
      </c>
      <c r="W115" s="166">
        <f>V115*(1-Inputs!$E$48)</f>
        <v>0</v>
      </c>
      <c r="X115" s="120">
        <f t="shared" si="32"/>
        <v>1129.482568012163</v>
      </c>
      <c r="Y115" s="120">
        <f t="shared" si="33"/>
        <v>570.33829025887951</v>
      </c>
      <c r="Z115" s="20">
        <f t="shared" si="34"/>
        <v>113.73880278465401</v>
      </c>
      <c r="AA115" s="20">
        <f t="shared" si="35"/>
        <v>0</v>
      </c>
      <c r="AB115" s="21">
        <f t="shared" si="36"/>
        <v>196.10138411147241</v>
      </c>
      <c r="AC115" s="185" t="str">
        <f t="shared" si="25"/>
        <v>Income EligiblePropaneDuctlessYes</v>
      </c>
      <c r="AD115" t="s">
        <v>27</v>
      </c>
      <c r="AI115" s="58"/>
    </row>
    <row r="116" spans="2:35" x14ac:dyDescent="0.25">
      <c r="B116" s="36" t="s">
        <v>117</v>
      </c>
      <c r="C116" t="s">
        <v>160</v>
      </c>
      <c r="D116" t="s">
        <v>159</v>
      </c>
      <c r="E116" t="s">
        <v>234</v>
      </c>
      <c r="F116" s="18" t="s">
        <v>101</v>
      </c>
      <c r="G116" s="239">
        <f>IF($B116="Residential",0,Inputs!$E$103)</f>
        <v>0.42</v>
      </c>
      <c r="H116" s="162">
        <f>Inputs!$E$98/12</f>
        <v>10</v>
      </c>
      <c r="I116" s="184">
        <f>INDEX(Inputs!$D$114:$D$125,MATCH(F116,Inputs!$C$114:$C$125,0))</f>
        <v>4.6359999999999998E-2</v>
      </c>
      <c r="J116" s="161">
        <f>Inputs!$E$100</f>
        <v>0.29464000000000001</v>
      </c>
      <c r="K116" s="139">
        <f>Inputs!$E$101</f>
        <v>2.8649999999999998E-2</v>
      </c>
      <c r="L116" s="791">
        <f>EES!$I$23</f>
        <v>3.0100000000000023E-3</v>
      </c>
      <c r="M116" s="190">
        <f t="shared" ref="M116:M127" si="37">SUM(J116:L116)</f>
        <v>0.32630000000000003</v>
      </c>
      <c r="N116" s="192" t="str">
        <f t="shared" ref="N116:N127" si="38">IF($B116="Residential","R1RESIDENTIAL","R2RESASST")</f>
        <v>R2RESASST</v>
      </c>
      <c r="O116" s="134">
        <f>SUMIFS(Sales!$E$7:$E$54,Sales!$B$7:$B$54,$F116,Sales!$C$7:$C$54,$N116)/SUMIFS(Sales!$E$7:$E$54,Sales!$C$7:$C$54,$N116)</f>
        <v>9.2016295941963519E-2</v>
      </c>
      <c r="P116" s="120">
        <f>O116*(INDEX(Annual!$O$9:$O$22,MATCH($AC116,Annual!$AD$9:$AD$22,0)))</f>
        <v>524.49288686919203</v>
      </c>
      <c r="Q116" s="134">
        <f>INDEX(Inputs!$E$114:$E$125,MATCH(F116,Inputs!$C$114:$C$125,0))</f>
        <v>5.9304226053352373E-2</v>
      </c>
      <c r="R116" s="840">
        <f>Q116*INDEX(Annual!$U$9:$U$22,MATCH(AC116,Annual!$AD$9:$AD$22,0))</f>
        <v>310.73720045497976</v>
      </c>
      <c r="S116" s="164">
        <f t="shared" ref="S116:S127" si="39">R116*M116*(1-$G116)</f>
        <v>58.808258134906751</v>
      </c>
      <c r="T116" s="165">
        <f>INDEX(Inputs!$F$114:$F$125,MATCH(F116,Inputs!$C$114:$C$125,0))</f>
        <v>0.16338151554971528</v>
      </c>
      <c r="U116" s="264">
        <f>T116*IF(D116="HP prior to CVEO",INDEX(Annual!$P$9:$P$22,MATCH(AC116,Annual!$AD$9:$AD$22,0)),INDEX(Annual!$V$9:$V$22,MATCH(AC116,Annual!$AD$9:$AD$22,0)))</f>
        <v>387.16751141981104</v>
      </c>
      <c r="V116" s="222">
        <f>IF(E116="No",0,_xlfn.IFNA(INDEX(Inputs!$E$50:$E$53,MATCH("Events in "&amp;F116,Inputs!$C$50:$C$53,0)),0)*Inputs!$E$46*Inputs!$E$54)</f>
        <v>0</v>
      </c>
      <c r="W116" s="166">
        <f>V116*(1-Inputs!$E$48)</f>
        <v>0</v>
      </c>
      <c r="X116" s="120">
        <f t="shared" si="32"/>
        <v>911.66039828900307</v>
      </c>
      <c r="Y116" s="120">
        <f t="shared" si="33"/>
        <v>600.92319783402331</v>
      </c>
      <c r="Z116" s="20">
        <f t="shared" si="34"/>
        <v>119.52711888288027</v>
      </c>
      <c r="AA116" s="20">
        <f t="shared" ref="AA116:AA127" si="40">IF(Y116&gt;0,0,-Y116*$I116)</f>
        <v>0</v>
      </c>
      <c r="AB116" s="21">
        <f t="shared" si="36"/>
        <v>206.08123945324184</v>
      </c>
      <c r="AC116" s="185" t="str">
        <f t="shared" si="25"/>
        <v>Income EligiblePropaneDuctedNo</v>
      </c>
      <c r="AD116" t="s">
        <v>27</v>
      </c>
      <c r="AI116" s="58"/>
    </row>
    <row r="117" spans="2:35" x14ac:dyDescent="0.25">
      <c r="B117" s="36" t="s">
        <v>117</v>
      </c>
      <c r="C117" t="s">
        <v>160</v>
      </c>
      <c r="D117" t="s">
        <v>159</v>
      </c>
      <c r="E117" t="s">
        <v>234</v>
      </c>
      <c r="F117" s="18" t="s">
        <v>102</v>
      </c>
      <c r="G117" s="239">
        <f>IF($B117="Residential",0,Inputs!$E$103)</f>
        <v>0.42</v>
      </c>
      <c r="H117" s="162">
        <f>Inputs!$E$98/12</f>
        <v>10</v>
      </c>
      <c r="I117" s="184">
        <f>INDEX(Inputs!$D$114:$D$125,MATCH(F117,Inputs!$C$114:$C$125,0))</f>
        <v>3.5580000000000001E-2</v>
      </c>
      <c r="J117" s="161">
        <f>Inputs!$E$100</f>
        <v>0.29464000000000001</v>
      </c>
      <c r="K117" s="139">
        <f>Inputs!$E$101</f>
        <v>2.8649999999999998E-2</v>
      </c>
      <c r="L117" s="791">
        <f>EES!$I$23</f>
        <v>3.0100000000000023E-3</v>
      </c>
      <c r="M117" s="190">
        <f t="shared" si="37"/>
        <v>0.32630000000000003</v>
      </c>
      <c r="N117" s="192" t="str">
        <f t="shared" si="38"/>
        <v>R2RESASST</v>
      </c>
      <c r="O117" s="134">
        <f>SUMIFS(Sales!$E$7:$E$54,Sales!$B$7:$B$54,$F117,Sales!$C$7:$C$54,$N117)/SUMIFS(Sales!$E$7:$E$54,Sales!$C$7:$C$54,$N117)</f>
        <v>8.696932108954479E-2</v>
      </c>
      <c r="P117" s="120">
        <f>O117*(INDEX(Annual!$O$9:$O$22,MATCH($AC117,Annual!$AD$9:$AD$22,0)))</f>
        <v>495.72513021040533</v>
      </c>
      <c r="Q117" s="134">
        <f>INDEX(Inputs!$E$114:$E$125,MATCH(F117,Inputs!$C$114:$C$125,0))</f>
        <v>7.056160122921061E-2</v>
      </c>
      <c r="R117" s="840">
        <f>Q117*INDEX(Annual!$U$9:$U$22,MATCH(AC117,Annual!$AD$9:$AD$22,0))</f>
        <v>369.7226299835695</v>
      </c>
      <c r="S117" s="164">
        <f t="shared" si="39"/>
        <v>69.971486614910489</v>
      </c>
      <c r="T117" s="165">
        <f>INDEX(Inputs!$F$114:$F$125,MATCH(F117,Inputs!$C$114:$C$125,0))</f>
        <v>0.2087896043217988</v>
      </c>
      <c r="U117" s="264">
        <f>T117*IF(D117="HP prior to CVEO",INDEX(Annual!$P$9:$P$22,MATCH(AC117,Annual!$AD$9:$AD$22,0)),INDEX(Annual!$V$9:$V$22,MATCH(AC117,Annual!$AD$9:$AD$22,0)))</f>
        <v>494.77170806999982</v>
      </c>
      <c r="V117" s="222">
        <f>IF(E117="No",0,_xlfn.IFNA(INDEX(Inputs!$E$50:$E$53,MATCH("Events in "&amp;F117,Inputs!$C$50:$C$53,0)),0)*Inputs!$E$46*Inputs!$E$54)</f>
        <v>0</v>
      </c>
      <c r="W117" s="166">
        <f>V117*(1-Inputs!$E$48)</f>
        <v>0</v>
      </c>
      <c r="X117" s="120">
        <f t="shared" si="32"/>
        <v>990.4968382804052</v>
      </c>
      <c r="Y117" s="120">
        <f t="shared" si="33"/>
        <v>620.7742082968357</v>
      </c>
      <c r="Z117" s="20">
        <f t="shared" si="34"/>
        <v>123.28400201700937</v>
      </c>
      <c r="AA117" s="20">
        <f t="shared" si="40"/>
        <v>0</v>
      </c>
      <c r="AB117" s="21">
        <f t="shared" si="36"/>
        <v>212.55862416725751</v>
      </c>
      <c r="AC117" s="185" t="str">
        <f t="shared" si="25"/>
        <v>Income EligiblePropaneDuctedNo</v>
      </c>
      <c r="AD117" t="s">
        <v>27</v>
      </c>
      <c r="AI117" s="58"/>
    </row>
    <row r="118" spans="2:35" x14ac:dyDescent="0.25">
      <c r="B118" s="36" t="s">
        <v>117</v>
      </c>
      <c r="C118" t="s">
        <v>160</v>
      </c>
      <c r="D118" t="s">
        <v>159</v>
      </c>
      <c r="E118" t="s">
        <v>234</v>
      </c>
      <c r="F118" s="18" t="s">
        <v>103</v>
      </c>
      <c r="G118" s="239">
        <f>IF($B118="Residential",0,Inputs!$E$103)</f>
        <v>0.42</v>
      </c>
      <c r="H118" s="162">
        <f>Inputs!$E$98/12</f>
        <v>10</v>
      </c>
      <c r="I118" s="184">
        <f>INDEX(Inputs!$D$114:$D$125,MATCH(F118,Inputs!$C$114:$C$125,0))</f>
        <v>3.8429999999999999E-2</v>
      </c>
      <c r="J118" s="161">
        <f>Inputs!$E$100</f>
        <v>0.29464000000000001</v>
      </c>
      <c r="K118" s="139">
        <f>Inputs!$E$101</f>
        <v>2.8649999999999998E-2</v>
      </c>
      <c r="L118" s="791">
        <f>EES!$I$23</f>
        <v>3.0100000000000023E-3</v>
      </c>
      <c r="M118" s="190">
        <f t="shared" si="37"/>
        <v>0.32630000000000003</v>
      </c>
      <c r="N118" s="192" t="str">
        <f t="shared" si="38"/>
        <v>R2RESASST</v>
      </c>
      <c r="O118" s="134">
        <f>SUMIFS(Sales!$E$7:$E$54,Sales!$B$7:$B$54,$F118,Sales!$C$7:$C$54,$N118)/SUMIFS(Sales!$E$7:$E$54,Sales!$C$7:$C$54,$N118)</f>
        <v>8.0952699753921803E-2</v>
      </c>
      <c r="P118" s="120">
        <f>O118*(INDEX(Annual!$O$9:$O$22,MATCH($AC118,Annual!$AD$9:$AD$22,0)))</f>
        <v>461.43038859735429</v>
      </c>
      <c r="Q118" s="134">
        <f>INDEX(Inputs!$E$114:$E$125,MATCH(F118,Inputs!$C$114:$C$125,0))</f>
        <v>9.1691796536674613E-2</v>
      </c>
      <c r="R118" s="840">
        <f>Q118*INDEX(Annual!$U$9:$U$22,MATCH(AC118,Annual!$AD$9:$AD$22,0))</f>
        <v>480.43881619602161</v>
      </c>
      <c r="S118" s="164">
        <f t="shared" si="39"/>
        <v>90.924967720361892</v>
      </c>
      <c r="T118" s="165">
        <f>INDEX(Inputs!$F$114:$F$125,MATCH(F118,Inputs!$C$114:$C$125,0))</f>
        <v>0.14002044094028326</v>
      </c>
      <c r="U118" s="264">
        <f>T118*IF(D118="HP prior to CVEO",INDEX(Annual!$P$9:$P$22,MATCH(AC118,Annual!$AD$9:$AD$22,0)),INDEX(Annual!$V$9:$V$22,MATCH(AC118,Annual!$AD$9:$AD$22,0)))</f>
        <v>331.80843918820267</v>
      </c>
      <c r="V118" s="222">
        <f>IF(E118="No",0,_xlfn.IFNA(INDEX(Inputs!$E$50:$E$53,MATCH("Events in "&amp;F118,Inputs!$C$50:$C$53,0)),0)*Inputs!$E$46*Inputs!$E$54)</f>
        <v>0</v>
      </c>
      <c r="W118" s="166">
        <f>V118*(1-Inputs!$E$48)</f>
        <v>0</v>
      </c>
      <c r="X118" s="120">
        <f t="shared" si="32"/>
        <v>793.23882778555696</v>
      </c>
      <c r="Y118" s="120">
        <f t="shared" si="33"/>
        <v>312.80001158953536</v>
      </c>
      <c r="Z118" s="20">
        <f t="shared" si="34"/>
        <v>64.998653393365942</v>
      </c>
      <c r="AA118" s="20">
        <f t="shared" si="40"/>
        <v>0</v>
      </c>
      <c r="AB118" s="21">
        <f t="shared" si="36"/>
        <v>112.06664378166541</v>
      </c>
      <c r="AC118" s="185" t="str">
        <f t="shared" si="25"/>
        <v>Income EligiblePropaneDuctedNo</v>
      </c>
      <c r="AD118" t="s">
        <v>27</v>
      </c>
      <c r="AI118" s="58"/>
    </row>
    <row r="119" spans="2:35" x14ac:dyDescent="0.25">
      <c r="B119" s="36" t="s">
        <v>117</v>
      </c>
      <c r="C119" t="s">
        <v>160</v>
      </c>
      <c r="D119" t="s">
        <v>159</v>
      </c>
      <c r="E119" t="s">
        <v>234</v>
      </c>
      <c r="F119" s="18" t="s">
        <v>104</v>
      </c>
      <c r="G119" s="239">
        <f>IF($B119="Residential",0,Inputs!$E$103)</f>
        <v>0.42</v>
      </c>
      <c r="H119" s="162">
        <f>Inputs!$E$98/12</f>
        <v>10</v>
      </c>
      <c r="I119" s="184">
        <f>INDEX(Inputs!$D$114:$D$125,MATCH(F119,Inputs!$C$114:$C$125,0))</f>
        <v>3.9399999999999998E-2</v>
      </c>
      <c r="J119" s="161">
        <f>Inputs!$E$100</f>
        <v>0.29464000000000001</v>
      </c>
      <c r="K119" s="139">
        <f>Inputs!$E$101</f>
        <v>2.8649999999999998E-2</v>
      </c>
      <c r="L119" s="791">
        <f>EES!$I$23</f>
        <v>3.0100000000000023E-3</v>
      </c>
      <c r="M119" s="190">
        <f t="shared" si="37"/>
        <v>0.32630000000000003</v>
      </c>
      <c r="N119" s="192" t="str">
        <f t="shared" si="38"/>
        <v>R2RESASST</v>
      </c>
      <c r="O119" s="134">
        <f>SUMIFS(Sales!$E$7:$E$54,Sales!$B$7:$B$54,$F119,Sales!$C$7:$C$54,$N119)/SUMIFS(Sales!$E$7:$E$54,Sales!$C$7:$C$54,$N119)</f>
        <v>7.557098328361167E-2</v>
      </c>
      <c r="P119" s="120">
        <f>O119*(INDEX(Annual!$O$9:$O$22,MATCH($AC119,Annual!$AD$9:$AD$22,0)))</f>
        <v>430.75460471658653</v>
      </c>
      <c r="Q119" s="134">
        <f>INDEX(Inputs!$E$114:$E$125,MATCH(F119,Inputs!$C$114:$C$125,0))</f>
        <v>9.5902218316044743E-2</v>
      </c>
      <c r="R119" s="840">
        <f>Q119*INDEX(Annual!$U$9:$U$22,MATCH(AC119,Annual!$AD$9:$AD$22,0))</f>
        <v>502.50022334226981</v>
      </c>
      <c r="S119" s="164">
        <f t="shared" si="39"/>
        <v>95.100177268417951</v>
      </c>
      <c r="T119" s="165">
        <f>INDEX(Inputs!$F$114:$F$125,MATCH(F119,Inputs!$C$114:$C$125,0))</f>
        <v>8.1909767849321066E-2</v>
      </c>
      <c r="U119" s="264">
        <f>T119*IF(D119="HP prior to CVEO",INDEX(Annual!$P$9:$P$22,MATCH(AC119,Annual!$AD$9:$AD$22,0)),INDEX(Annual!$V$9:$V$22,MATCH(AC119,Annual!$AD$9:$AD$22,0)))</f>
        <v>194.10274701207683</v>
      </c>
      <c r="V119" s="222">
        <f>IF(E119="No",0,_xlfn.IFNA(INDEX(Inputs!$E$50:$E$53,MATCH("Events in "&amp;F119,Inputs!$C$50:$C$53,0)),0)*Inputs!$E$46*Inputs!$E$54)</f>
        <v>0</v>
      </c>
      <c r="W119" s="166">
        <f>V119*(1-Inputs!$E$48)</f>
        <v>0</v>
      </c>
      <c r="X119" s="120">
        <f t="shared" si="32"/>
        <v>624.85735172866339</v>
      </c>
      <c r="Y119" s="120">
        <f t="shared" si="33"/>
        <v>122.35712838639358</v>
      </c>
      <c r="Z119" s="20">
        <f t="shared" si="34"/>
        <v>28.956575975638536</v>
      </c>
      <c r="AA119" s="20">
        <f t="shared" si="40"/>
        <v>0</v>
      </c>
      <c r="AB119" s="21">
        <f t="shared" si="36"/>
        <v>49.925130992480227</v>
      </c>
      <c r="AC119" s="185" t="str">
        <f t="shared" si="25"/>
        <v>Income EligiblePropaneDuctedNo</v>
      </c>
      <c r="AD119" t="s">
        <v>27</v>
      </c>
      <c r="AI119" s="58"/>
    </row>
    <row r="120" spans="2:35" x14ac:dyDescent="0.25">
      <c r="B120" s="36" t="s">
        <v>117</v>
      </c>
      <c r="C120" t="s">
        <v>160</v>
      </c>
      <c r="D120" t="s">
        <v>159</v>
      </c>
      <c r="E120" t="s">
        <v>234</v>
      </c>
      <c r="F120" s="18" t="s">
        <v>105</v>
      </c>
      <c r="G120" s="239">
        <f>IF($B120="Residential",0,Inputs!$E$103)</f>
        <v>0.42</v>
      </c>
      <c r="H120" s="162">
        <f>Inputs!$E$98/12</f>
        <v>10</v>
      </c>
      <c r="I120" s="184">
        <f>INDEX(Inputs!$D$114:$D$125,MATCH(F120,Inputs!$C$114:$C$125,0))</f>
        <v>4.827E-2</v>
      </c>
      <c r="J120" s="161">
        <f>Inputs!$E$100</f>
        <v>0.29464000000000001</v>
      </c>
      <c r="K120" s="139">
        <f>Inputs!$E$101</f>
        <v>2.8649999999999998E-2</v>
      </c>
      <c r="L120" s="791">
        <f>EES!$I$23</f>
        <v>3.0100000000000023E-3</v>
      </c>
      <c r="M120" s="190">
        <f t="shared" si="37"/>
        <v>0.32630000000000003</v>
      </c>
      <c r="N120" s="192" t="str">
        <f t="shared" si="38"/>
        <v>R2RESASST</v>
      </c>
      <c r="O120" s="134">
        <f>SUMIFS(Sales!$E$7:$E$54,Sales!$B$7:$B$54,$F120,Sales!$C$7:$C$54,$N120)/SUMIFS(Sales!$E$7:$E$54,Sales!$C$7:$C$54,$N120)</f>
        <v>6.7854031841022025E-2</v>
      </c>
      <c r="P120" s="120">
        <f>O120*(INDEX(Annual!$O$9:$O$22,MATCH($AC120,Annual!$AD$9:$AD$22,0)))</f>
        <v>386.76798149382552</v>
      </c>
      <c r="Q120" s="134">
        <f>INDEX(Inputs!$E$114:$E$125,MATCH(F120,Inputs!$C$114:$C$125,0))</f>
        <v>0.10405019139401983</v>
      </c>
      <c r="R120" s="840">
        <f>Q120*INDEX(Annual!$U$9:$U$22,MATCH(AC120,Annual!$AD$9:$AD$22,0))</f>
        <v>545.19327427855126</v>
      </c>
      <c r="S120" s="164">
        <f t="shared" si="39"/>
        <v>103.18000793031297</v>
      </c>
      <c r="T120" s="165">
        <f>INDEX(Inputs!$F$114:$F$125,MATCH(F120,Inputs!$C$114:$C$125,0))</f>
        <v>5.577456563001898E-2</v>
      </c>
      <c r="U120" s="264">
        <f>T120*IF(D120="HP prior to CVEO",INDEX(Annual!$P$9:$P$22,MATCH(AC120,Annual!$AD$9:$AD$22,0)),INDEX(Annual!$V$9:$V$22,MATCH(AC120,Annual!$AD$9:$AD$22,0)))</f>
        <v>132.16978495296499</v>
      </c>
      <c r="V120" s="222">
        <f>IF(E120="No",0,_xlfn.IFNA(INDEX(Inputs!$E$50:$E$53,MATCH("Events in "&amp;F120,Inputs!$C$50:$C$53,0)),0)*Inputs!$E$46*Inputs!$E$54)</f>
        <v>0</v>
      </c>
      <c r="W120" s="166">
        <f>V120*(1-Inputs!$E$48)</f>
        <v>0</v>
      </c>
      <c r="X120" s="120">
        <f t="shared" si="32"/>
        <v>518.93776644679053</v>
      </c>
      <c r="Y120" s="120">
        <f t="shared" si="33"/>
        <v>-26.255507831760724</v>
      </c>
      <c r="Z120" s="20">
        <f t="shared" si="34"/>
        <v>4.5326466369609104</v>
      </c>
      <c r="AA120" s="20">
        <f t="shared" si="40"/>
        <v>1.2673533630390901</v>
      </c>
      <c r="AB120" s="21">
        <f t="shared" si="36"/>
        <v>8.7326466369609097</v>
      </c>
      <c r="AC120" s="185" t="str">
        <f t="shared" si="25"/>
        <v>Income EligiblePropaneDuctedNo</v>
      </c>
      <c r="AD120" t="s">
        <v>27</v>
      </c>
      <c r="AI120" s="58"/>
    </row>
    <row r="121" spans="2:35" x14ac:dyDescent="0.25">
      <c r="B121" s="36" t="s">
        <v>117</v>
      </c>
      <c r="C121" t="s">
        <v>160</v>
      </c>
      <c r="D121" t="s">
        <v>159</v>
      </c>
      <c r="E121" t="s">
        <v>234</v>
      </c>
      <c r="F121" s="18" t="s">
        <v>106</v>
      </c>
      <c r="G121" s="239">
        <f>IF($B121="Residential",0,Inputs!$E$103)</f>
        <v>0.42</v>
      </c>
      <c r="H121" s="162">
        <f>Inputs!$E$98/12</f>
        <v>10</v>
      </c>
      <c r="I121" s="184">
        <f>INDEX(Inputs!$D$114:$D$125,MATCH(F121,Inputs!$C$114:$C$125,0))</f>
        <v>5.8689999999999999E-2</v>
      </c>
      <c r="J121" s="161">
        <f>Inputs!$E$100</f>
        <v>0.29464000000000001</v>
      </c>
      <c r="K121" s="139">
        <f>Inputs!$E$101</f>
        <v>2.8649999999999998E-2</v>
      </c>
      <c r="L121" s="791">
        <f>EES!$I$23</f>
        <v>3.0100000000000023E-3</v>
      </c>
      <c r="M121" s="190">
        <f t="shared" si="37"/>
        <v>0.32630000000000003</v>
      </c>
      <c r="N121" s="192" t="str">
        <f t="shared" si="38"/>
        <v>R2RESASST</v>
      </c>
      <c r="O121" s="134">
        <f>SUMIFS(Sales!$E$7:$E$54,Sales!$B$7:$B$54,$F121,Sales!$C$7:$C$54,$N121)/SUMIFS(Sales!$E$7:$E$54,Sales!$C$7:$C$54,$N121)</f>
        <v>7.0581775183959652E-2</v>
      </c>
      <c r="P121" s="120">
        <f>O121*(INDEX(Annual!$O$9:$O$22,MATCH($AC121,Annual!$AD$9:$AD$22,0)))</f>
        <v>402.31611854857005</v>
      </c>
      <c r="Q121" s="134">
        <f>INDEX(Inputs!$E$114:$E$125,MATCH(F121,Inputs!$C$114:$C$125,0))</f>
        <v>9.7397110361162206E-2</v>
      </c>
      <c r="R121" s="840">
        <f>Q121*INDEX(Annual!$U$9:$U$22,MATCH(AC121,Annual!$AD$9:$AD$22,0))</f>
        <v>510.33303054667243</v>
      </c>
      <c r="S121" s="164">
        <f t="shared" si="39"/>
        <v>96.58256736307996</v>
      </c>
      <c r="T121" s="165">
        <f>INDEX(Inputs!$F$114:$F$125,MATCH(F121,Inputs!$C$114:$C$125,0))</f>
        <v>2.044094028325303E-2</v>
      </c>
      <c r="U121" s="264">
        <f>T121*IF(D121="HP prior to CVEO",INDEX(Annual!$P$9:$P$22,MATCH(AC121,Annual!$AD$9:$AD$22,0)),INDEX(Annual!$V$9:$V$22,MATCH(AC121,Annual!$AD$9:$AD$22,0)))</f>
        <v>48.439188202657327</v>
      </c>
      <c r="V121" s="222">
        <f>IF(E121="No",0,_xlfn.IFNA(INDEX(Inputs!$E$50:$E$53,MATCH("Events in "&amp;F121,Inputs!$C$50:$C$53,0)),0)*Inputs!$E$46*Inputs!$E$54)</f>
        <v>0</v>
      </c>
      <c r="W121" s="166">
        <f>V121*(1-Inputs!$E$48)</f>
        <v>0</v>
      </c>
      <c r="X121" s="120">
        <f t="shared" si="32"/>
        <v>450.75530675122735</v>
      </c>
      <c r="Y121" s="120">
        <f t="shared" si="33"/>
        <v>-59.577723795445081</v>
      </c>
      <c r="Z121" s="20">
        <f t="shared" si="34"/>
        <v>2.3033833904453291</v>
      </c>
      <c r="AA121" s="20">
        <f t="shared" si="40"/>
        <v>3.4966166095546716</v>
      </c>
      <c r="AB121" s="21">
        <f t="shared" si="36"/>
        <v>6.5033833904453289</v>
      </c>
      <c r="AC121" s="185" t="str">
        <f t="shared" si="25"/>
        <v>Income EligiblePropaneDuctedNo</v>
      </c>
      <c r="AD121" t="s">
        <v>27</v>
      </c>
      <c r="AI121" s="58"/>
    </row>
    <row r="122" spans="2:35" x14ac:dyDescent="0.25">
      <c r="B122" s="36" t="s">
        <v>117</v>
      </c>
      <c r="C122" t="s">
        <v>160</v>
      </c>
      <c r="D122" t="s">
        <v>159</v>
      </c>
      <c r="E122" t="s">
        <v>234</v>
      </c>
      <c r="F122" s="18" t="s">
        <v>107</v>
      </c>
      <c r="G122" s="239">
        <f>IF($B122="Residential",0,Inputs!$E$103)</f>
        <v>0.42</v>
      </c>
      <c r="H122" s="162">
        <f>Inputs!$E$98/12</f>
        <v>10</v>
      </c>
      <c r="I122" s="184">
        <f>INDEX(Inputs!$D$114:$D$125,MATCH(F122,Inputs!$C$114:$C$125,0))</f>
        <v>5.5409999999999994E-2</v>
      </c>
      <c r="J122" s="161">
        <f>Inputs!$E$100</f>
        <v>0.29464000000000001</v>
      </c>
      <c r="K122" s="139">
        <f>Inputs!$E$101</f>
        <v>2.8649999999999998E-2</v>
      </c>
      <c r="L122" s="791">
        <f>EES!$I$23</f>
        <v>3.0100000000000023E-3</v>
      </c>
      <c r="M122" s="190">
        <f t="shared" si="37"/>
        <v>0.32630000000000003</v>
      </c>
      <c r="N122" s="192" t="str">
        <f t="shared" si="38"/>
        <v>R2RESASST</v>
      </c>
      <c r="O122" s="134">
        <f>SUMIFS(Sales!$E$7:$E$54,Sales!$B$7:$B$54,$F122,Sales!$C$7:$C$54,$N122)/SUMIFS(Sales!$E$7:$E$54,Sales!$C$7:$C$54,$N122)</f>
        <v>0.10401220728411072</v>
      </c>
      <c r="P122" s="120">
        <f>O122*(INDEX(Annual!$O$9:$O$22,MATCH($AC122,Annual!$AD$9:$AD$22,0)))</f>
        <v>592.86958151943111</v>
      </c>
      <c r="Q122" s="134">
        <f>INDEX(Inputs!$E$114:$E$125,MATCH(F122,Inputs!$C$114:$C$125,0))</f>
        <v>0.10459025798272056</v>
      </c>
      <c r="R122" s="840">
        <f>Q122*INDEX(Annual!$U$9:$U$22,MATCH(AC122,Annual!$AD$9:$AD$22,0))</f>
        <v>548.02306889860347</v>
      </c>
      <c r="S122" s="164">
        <f t="shared" si="39"/>
        <v>103.71555788133632</v>
      </c>
      <c r="T122" s="165">
        <f>INDEX(Inputs!$F$114:$F$125,MATCH(F122,Inputs!$C$114:$C$125,0))</f>
        <v>3.9421813403416554E-3</v>
      </c>
      <c r="U122" s="264">
        <f>T122*IF(D122="HP prior to CVEO",INDEX(Annual!$P$9:$P$22,MATCH(AC122,Annual!$AD$9:$AD$22,0)),INDEX(Annual!$V$9:$V$22,MATCH(AC122,Annual!$AD$9:$AD$22,0)))</f>
        <v>9.3418434390839113</v>
      </c>
      <c r="V122" s="222">
        <f>IF(E122="No",0,_xlfn.IFNA(INDEX(Inputs!$E$50:$E$53,MATCH("Events in "&amp;F122,Inputs!$C$50:$C$53,0)),0)*Inputs!$E$46*Inputs!$E$54)</f>
        <v>0</v>
      </c>
      <c r="W122" s="166">
        <f>V122*(1-Inputs!$E$48)</f>
        <v>0</v>
      </c>
      <c r="X122" s="120">
        <f t="shared" si="32"/>
        <v>602.21142495851507</v>
      </c>
      <c r="Y122" s="120">
        <f t="shared" si="33"/>
        <v>54.188356059911598</v>
      </c>
      <c r="Z122" s="20">
        <f t="shared" si="34"/>
        <v>16.055363137762512</v>
      </c>
      <c r="AA122" s="20">
        <f t="shared" si="40"/>
        <v>0</v>
      </c>
      <c r="AB122" s="21">
        <f t="shared" si="36"/>
        <v>27.681660582349156</v>
      </c>
      <c r="AC122" s="185" t="str">
        <f t="shared" si="25"/>
        <v>Income EligiblePropaneDuctedNo</v>
      </c>
      <c r="AD122" t="s">
        <v>27</v>
      </c>
      <c r="AI122" s="58"/>
    </row>
    <row r="123" spans="2:35" x14ac:dyDescent="0.25">
      <c r="B123" s="36" t="s">
        <v>117</v>
      </c>
      <c r="C123" t="s">
        <v>160</v>
      </c>
      <c r="D123" t="s">
        <v>159</v>
      </c>
      <c r="E123" t="s">
        <v>234</v>
      </c>
      <c r="F123" s="18" t="s">
        <v>108</v>
      </c>
      <c r="G123" s="239">
        <f>IF($B123="Residential",0,Inputs!$E$103)</f>
        <v>0.42</v>
      </c>
      <c r="H123" s="162">
        <f>Inputs!$E$98/12</f>
        <v>10</v>
      </c>
      <c r="I123" s="184">
        <f>INDEX(Inputs!$D$114:$D$125,MATCH(F123,Inputs!$C$114:$C$125,0))</f>
        <v>5.1479999999999998E-2</v>
      </c>
      <c r="J123" s="161">
        <f>Inputs!$E$100</f>
        <v>0.29464000000000001</v>
      </c>
      <c r="K123" s="139">
        <f>Inputs!$E$101</f>
        <v>2.8649999999999998E-2</v>
      </c>
      <c r="L123" s="791">
        <f>EES!$I$23</f>
        <v>3.0100000000000023E-3</v>
      </c>
      <c r="M123" s="190">
        <f t="shared" si="37"/>
        <v>0.32630000000000003</v>
      </c>
      <c r="N123" s="192" t="str">
        <f t="shared" si="38"/>
        <v>R2RESASST</v>
      </c>
      <c r="O123" s="134">
        <f>SUMIFS(Sales!$E$7:$E$54,Sales!$B$7:$B$54,$F123,Sales!$C$7:$C$54,$N123)/SUMIFS(Sales!$E$7:$E$54,Sales!$C$7:$C$54,$N123)</f>
        <v>0.11294527063791739</v>
      </c>
      <c r="P123" s="120">
        <f>O123*(INDEX(Annual!$O$9:$O$22,MATCH($AC123,Annual!$AD$9:$AD$22,0)))</f>
        <v>643.78804263612915</v>
      </c>
      <c r="Q123" s="134">
        <f>INDEX(Inputs!$E$114:$E$125,MATCH(F123,Inputs!$C$114:$C$125,0))</f>
        <v>9.9163535033348085E-2</v>
      </c>
      <c r="R123" s="840">
        <f>Q123*INDEX(Annual!$U$9:$U$22,MATCH(AC123,Annual!$AD$9:$AD$22,0))</f>
        <v>519.58859113616302</v>
      </c>
      <c r="S123" s="164">
        <f t="shared" si="39"/>
        <v>98.33421922688342</v>
      </c>
      <c r="T123" s="165">
        <f>INDEX(Inputs!$F$114:$F$125,MATCH(F123,Inputs!$C$114:$C$125,0))</f>
        <v>5.5482552197401083E-3</v>
      </c>
      <c r="U123" s="264">
        <f>T123*IF(D123="HP prior to CVEO",INDEX(Annual!$P$9:$P$22,MATCH(AC123,Annual!$AD$9:$AD$22,0)),INDEX(Annual!$V$9:$V$22,MATCH(AC123,Annual!$AD$9:$AD$22,0)))</f>
        <v>13.147779655006989</v>
      </c>
      <c r="V123" s="222">
        <f>IF(E123="No",0,_xlfn.IFNA(INDEX(Inputs!$E$50:$E$53,MATCH("Events in "&amp;F123,Inputs!$C$50:$C$53,0)),0)*Inputs!$E$46*Inputs!$E$54)</f>
        <v>0</v>
      </c>
      <c r="W123" s="166">
        <f>V123*(1-Inputs!$E$48)</f>
        <v>0</v>
      </c>
      <c r="X123" s="120">
        <f t="shared" si="32"/>
        <v>656.93582229113611</v>
      </c>
      <c r="Y123" s="120">
        <f t="shared" si="33"/>
        <v>137.34723115497309</v>
      </c>
      <c r="Z123" s="20">
        <f t="shared" si="34"/>
        <v>31.793512885003285</v>
      </c>
      <c r="AA123" s="20">
        <f t="shared" si="40"/>
        <v>0</v>
      </c>
      <c r="AB123" s="21">
        <f t="shared" si="36"/>
        <v>54.816401525867725</v>
      </c>
      <c r="AC123" s="185" t="str">
        <f t="shared" si="25"/>
        <v>Income EligiblePropaneDuctedNo</v>
      </c>
      <c r="AD123" t="s">
        <v>27</v>
      </c>
      <c r="AI123" s="58"/>
    </row>
    <row r="124" spans="2:35" x14ac:dyDescent="0.25">
      <c r="B124" s="36" t="s">
        <v>117</v>
      </c>
      <c r="C124" t="s">
        <v>160</v>
      </c>
      <c r="D124" t="s">
        <v>159</v>
      </c>
      <c r="E124" t="s">
        <v>234</v>
      </c>
      <c r="F124" s="18" t="s">
        <v>109</v>
      </c>
      <c r="G124" s="239">
        <f>IF($B124="Residential",0,Inputs!$E$103)</f>
        <v>0.42</v>
      </c>
      <c r="H124" s="162">
        <f>Inputs!$E$98/12</f>
        <v>10</v>
      </c>
      <c r="I124" s="184">
        <f>INDEX(Inputs!$D$114:$D$125,MATCH(F124,Inputs!$C$114:$C$125,0))</f>
        <v>5.4880000000000005E-2</v>
      </c>
      <c r="J124" s="161">
        <f>Inputs!$E$100</f>
        <v>0.29464000000000001</v>
      </c>
      <c r="K124" s="139">
        <f>Inputs!$E$101</f>
        <v>2.8649999999999998E-2</v>
      </c>
      <c r="L124" s="791">
        <f>EES!$I$23</f>
        <v>3.0100000000000023E-3</v>
      </c>
      <c r="M124" s="190">
        <f t="shared" si="37"/>
        <v>0.32630000000000003</v>
      </c>
      <c r="N124" s="192" t="str">
        <f t="shared" si="38"/>
        <v>R2RESASST</v>
      </c>
      <c r="O124" s="134">
        <f>SUMIFS(Sales!$E$7:$E$54,Sales!$B$7:$B$54,$F124,Sales!$C$7:$C$54,$N124)/SUMIFS(Sales!$E$7:$E$54,Sales!$C$7:$C$54,$N124)</f>
        <v>8.9486160574449899E-2</v>
      </c>
      <c r="P124" s="120">
        <f>O124*(INDEX(Annual!$O$9:$O$22,MATCH($AC124,Annual!$AD$9:$AD$22,0)))</f>
        <v>510.07111527436444</v>
      </c>
      <c r="Q124" s="134">
        <f>INDEX(Inputs!$E$114:$E$125,MATCH(F124,Inputs!$C$114:$C$125,0))</f>
        <v>9.3858976615798895E-2</v>
      </c>
      <c r="R124" s="840">
        <f>Q124*INDEX(Annual!$U$9:$U$22,MATCH(AC124,Annual!$AD$9:$AD$22,0))</f>
        <v>491.79422061632454</v>
      </c>
      <c r="S124" s="164">
        <f t="shared" si="39"/>
        <v>93.074023428521897</v>
      </c>
      <c r="T124" s="165">
        <f>INDEX(Inputs!$F$114:$F$125,MATCH(F124,Inputs!$C$114:$C$125,0))</f>
        <v>1.9272886552781428E-2</v>
      </c>
      <c r="U124" s="264">
        <f>T124*IF(D124="HP prior to CVEO",INDEX(Annual!$P$9:$P$22,MATCH(AC124,Annual!$AD$9:$AD$22,0)),INDEX(Annual!$V$9:$V$22,MATCH(AC124,Annual!$AD$9:$AD$22,0)))</f>
        <v>45.671234591076903</v>
      </c>
      <c r="V124" s="222">
        <f>IF(E124="No",0,_xlfn.IFNA(INDEX(Inputs!$E$50:$E$53,MATCH("Events in "&amp;F124,Inputs!$C$50:$C$53,0)),0)*Inputs!$E$46*Inputs!$E$54)</f>
        <v>0</v>
      </c>
      <c r="W124" s="166">
        <f>V124*(1-Inputs!$E$48)</f>
        <v>0</v>
      </c>
      <c r="X124" s="120">
        <f t="shared" si="32"/>
        <v>555.74234986544138</v>
      </c>
      <c r="Y124" s="120">
        <f t="shared" si="33"/>
        <v>63.948129249116846</v>
      </c>
      <c r="Z124" s="20">
        <f t="shared" si="34"/>
        <v>17.902439252912362</v>
      </c>
      <c r="AA124" s="20">
        <f t="shared" si="40"/>
        <v>0</v>
      </c>
      <c r="AB124" s="21">
        <f t="shared" si="36"/>
        <v>30.866274573986828</v>
      </c>
      <c r="AC124" s="185" t="str">
        <f t="shared" si="25"/>
        <v>Income EligiblePropaneDuctedNo</v>
      </c>
      <c r="AD124" t="s">
        <v>27</v>
      </c>
      <c r="AI124" s="58"/>
    </row>
    <row r="125" spans="2:35" x14ac:dyDescent="0.25">
      <c r="B125" s="36" t="s">
        <v>117</v>
      </c>
      <c r="C125" t="s">
        <v>160</v>
      </c>
      <c r="D125" t="s">
        <v>159</v>
      </c>
      <c r="E125" t="s">
        <v>234</v>
      </c>
      <c r="F125" s="18" t="s">
        <v>110</v>
      </c>
      <c r="G125" s="239">
        <f>IF($B125="Residential",0,Inputs!$E$103)</f>
        <v>0.42</v>
      </c>
      <c r="H125" s="162">
        <f>Inputs!$E$98/12</f>
        <v>10</v>
      </c>
      <c r="I125" s="184">
        <f>INDEX(Inputs!$D$114:$D$125,MATCH(F125,Inputs!$C$114:$C$125,0))</f>
        <v>5.9859999999999997E-2</v>
      </c>
      <c r="J125" s="161">
        <f>Inputs!$E$100</f>
        <v>0.29464000000000001</v>
      </c>
      <c r="K125" s="139">
        <f>Inputs!$E$101</f>
        <v>2.8649999999999998E-2</v>
      </c>
      <c r="L125" s="791">
        <f>EES!$I$23</f>
        <v>3.0100000000000023E-3</v>
      </c>
      <c r="M125" s="190">
        <f t="shared" si="37"/>
        <v>0.32630000000000003</v>
      </c>
      <c r="N125" s="192" t="str">
        <f t="shared" si="38"/>
        <v>R2RESASST</v>
      </c>
      <c r="O125" s="134">
        <f>SUMIFS(Sales!$E$7:$E$54,Sales!$B$7:$B$54,$F125,Sales!$C$7:$C$54,$N125)/SUMIFS(Sales!$E$7:$E$54,Sales!$C$7:$C$54,$N125)</f>
        <v>6.8945458928186681E-2</v>
      </c>
      <c r="P125" s="120">
        <f>O125*(INDEX(Annual!$O$9:$O$22,MATCH($AC125,Annual!$AD$9:$AD$22,0)))</f>
        <v>392.9891158906641</v>
      </c>
      <c r="Q125" s="134">
        <f>INDEX(Inputs!$E$114:$E$125,MATCH(F125,Inputs!$C$114:$C$125,0))</f>
        <v>7.6465910496739911E-2</v>
      </c>
      <c r="R125" s="840">
        <f>Q125*INDEX(Annual!$U$9:$U$22,MATCH(AC125,Annual!$AD$9:$AD$22,0))</f>
        <v>400.65952359991803</v>
      </c>
      <c r="S125" s="164">
        <f t="shared" si="39"/>
        <v>75.826417479378904</v>
      </c>
      <c r="T125" s="165">
        <f>INDEX(Inputs!$F$114:$F$125,MATCH(F125,Inputs!$C$114:$C$125,0))</f>
        <v>4.0589867133888159E-2</v>
      </c>
      <c r="U125" s="264">
        <f>T125*IF(D125="HP prior to CVEO",INDEX(Annual!$P$9:$P$22,MATCH(AC125,Annual!$AD$9:$AD$22,0)),INDEX(Annual!$V$9:$V$22,MATCH(AC125,Annual!$AD$9:$AD$22,0)))</f>
        <v>96.186388002419548</v>
      </c>
      <c r="V125" s="222">
        <f>IF(E125="No",0,_xlfn.IFNA(INDEX(Inputs!$E$50:$E$53,MATCH("Events in "&amp;F125,Inputs!$C$50:$C$53,0)),0)*Inputs!$E$46*Inputs!$E$54)</f>
        <v>0</v>
      </c>
      <c r="W125" s="166">
        <f>V125*(1-Inputs!$E$48)</f>
        <v>0</v>
      </c>
      <c r="X125" s="120">
        <f t="shared" si="32"/>
        <v>489.17550389308366</v>
      </c>
      <c r="Y125" s="120">
        <f t="shared" si="33"/>
        <v>88.515980293165626</v>
      </c>
      <c r="Z125" s="20">
        <f t="shared" si="34"/>
        <v>22.552003334402769</v>
      </c>
      <c r="AA125" s="20">
        <f t="shared" si="40"/>
        <v>0</v>
      </c>
      <c r="AB125" s="21">
        <f t="shared" si="36"/>
        <v>38.882764369659945</v>
      </c>
      <c r="AC125" s="185" t="str">
        <f t="shared" si="25"/>
        <v>Income EligiblePropaneDuctedNo</v>
      </c>
      <c r="AD125" t="s">
        <v>27</v>
      </c>
      <c r="AI125" s="58"/>
    </row>
    <row r="126" spans="2:35" x14ac:dyDescent="0.25">
      <c r="B126" s="36" t="s">
        <v>117</v>
      </c>
      <c r="C126" t="s">
        <v>160</v>
      </c>
      <c r="D126" t="s">
        <v>159</v>
      </c>
      <c r="E126" t="s">
        <v>234</v>
      </c>
      <c r="F126" s="18" t="s">
        <v>111</v>
      </c>
      <c r="G126" s="239">
        <f>IF($B126="Residential",0,Inputs!$E$103)</f>
        <v>0.42</v>
      </c>
      <c r="H126" s="162">
        <f>Inputs!$E$98/12</f>
        <v>10</v>
      </c>
      <c r="I126" s="184">
        <f>INDEX(Inputs!$D$114:$D$125,MATCH(F126,Inputs!$C$114:$C$125,0))</f>
        <v>0.10368000000000001</v>
      </c>
      <c r="J126" s="161">
        <f>Inputs!$E$100</f>
        <v>0.29464000000000001</v>
      </c>
      <c r="K126" s="139">
        <f>Inputs!$E$101</f>
        <v>2.8649999999999998E-2</v>
      </c>
      <c r="L126" s="791">
        <f>EES!$I$23</f>
        <v>3.0100000000000023E-3</v>
      </c>
      <c r="M126" s="190">
        <f t="shared" si="37"/>
        <v>0.32630000000000003</v>
      </c>
      <c r="N126" s="192" t="str">
        <f t="shared" si="38"/>
        <v>R2RESASST</v>
      </c>
      <c r="O126" s="134">
        <f>SUMIFS(Sales!$E$7:$E$54,Sales!$B$7:$B$54,$F126,Sales!$C$7:$C$54,$N126)/SUMIFS(Sales!$E$7:$E$54,Sales!$C$7:$C$54,$N126)</f>
        <v>6.1773805060155777E-2</v>
      </c>
      <c r="P126" s="120">
        <f>O126*(INDEX(Annual!$O$9:$O$22,MATCH($AC126,Annual!$AD$9:$AD$22,0)))</f>
        <v>352.11068884288795</v>
      </c>
      <c r="Q126" s="134">
        <f>INDEX(Inputs!$E$114:$E$125,MATCH(F126,Inputs!$C$114:$C$125,0))</f>
        <v>5.8509626541612472E-2</v>
      </c>
      <c r="R126" s="840">
        <f>Q126*INDEX(Annual!$U$9:$U$22,MATCH(AC126,Annual!$AD$9:$AD$22,0))</f>
        <v>306.57372604189459</v>
      </c>
      <c r="S126" s="164">
        <f t="shared" si="39"/>
        <v>58.020303948332732</v>
      </c>
      <c r="T126" s="165">
        <f>INDEX(Inputs!$F$114:$F$125,MATCH(F126,Inputs!$C$114:$C$125,0))</f>
        <v>0.10643889618922471</v>
      </c>
      <c r="U126" s="264">
        <f>T126*IF(D126="HP prior to CVEO",INDEX(Annual!$P$9:$P$22,MATCH(AC126,Annual!$AD$9:$AD$22,0)),INDEX(Annual!$V$9:$V$22,MATCH(AC126,Annual!$AD$9:$AD$22,0)))</f>
        <v>252.22977285526565</v>
      </c>
      <c r="V126" s="222">
        <f>IF(E126="No",0,_xlfn.IFNA(INDEX(Inputs!$E$50:$E$53,MATCH("Events in "&amp;F126,Inputs!$C$50:$C$53,0)),0)*Inputs!$E$46*Inputs!$E$54)</f>
        <v>0</v>
      </c>
      <c r="W126" s="166">
        <f>V126*(1-Inputs!$E$48)</f>
        <v>0</v>
      </c>
      <c r="X126" s="120">
        <f t="shared" si="32"/>
        <v>604.3404616981536</v>
      </c>
      <c r="Y126" s="120">
        <f t="shared" si="33"/>
        <v>297.76673565625902</v>
      </c>
      <c r="Z126" s="20">
        <f t="shared" si="34"/>
        <v>62.153545789889662</v>
      </c>
      <c r="AA126" s="20">
        <f t="shared" si="40"/>
        <v>0</v>
      </c>
      <c r="AB126" s="21">
        <f t="shared" si="36"/>
        <v>107.16128584463733</v>
      </c>
      <c r="AC126" s="185" t="str">
        <f t="shared" si="25"/>
        <v>Income EligiblePropaneDuctedNo</v>
      </c>
      <c r="AD126" t="s">
        <v>27</v>
      </c>
      <c r="AI126" s="58"/>
    </row>
    <row r="127" spans="2:35" x14ac:dyDescent="0.25">
      <c r="B127" s="36" t="s">
        <v>117</v>
      </c>
      <c r="C127" t="s">
        <v>160</v>
      </c>
      <c r="D127" t="s">
        <v>159</v>
      </c>
      <c r="E127" t="s">
        <v>234</v>
      </c>
      <c r="F127" s="18" t="s">
        <v>112</v>
      </c>
      <c r="G127" s="239">
        <f>IF($B127="Residential",0,Inputs!$E$103)</f>
        <v>0.42</v>
      </c>
      <c r="H127" s="162">
        <f>Inputs!$E$98/12</f>
        <v>10</v>
      </c>
      <c r="I127" s="184">
        <f>INDEX(Inputs!$D$114:$D$125,MATCH(F127,Inputs!$C$114:$C$125,0))</f>
        <v>7.7920000000000003E-2</v>
      </c>
      <c r="J127" s="161">
        <f>Inputs!$E$100</f>
        <v>0.29464000000000001</v>
      </c>
      <c r="K127" s="139">
        <f>Inputs!$E$101</f>
        <v>2.8649999999999998E-2</v>
      </c>
      <c r="L127" s="791">
        <f>EES!$I$23</f>
        <v>3.0100000000000023E-3</v>
      </c>
      <c r="M127" s="190">
        <f t="shared" si="37"/>
        <v>0.32630000000000003</v>
      </c>
      <c r="N127" s="192" t="str">
        <f t="shared" si="38"/>
        <v>R2RESASST</v>
      </c>
      <c r="O127" s="134">
        <f>SUMIFS(Sales!$E$7:$E$54,Sales!$B$7:$B$54,$F127,Sales!$C$7:$C$54,$N127)/SUMIFS(Sales!$E$7:$E$54,Sales!$C$7:$C$54,$N127)</f>
        <v>8.8891990421156086E-2</v>
      </c>
      <c r="P127" s="120">
        <f>O127*(INDEX(Annual!$O$9:$O$22,MATCH($AC127,Annual!$AD$9:$AD$22,0)))</f>
        <v>506.68434540058968</v>
      </c>
      <c r="Q127" s="134">
        <f>INDEX(Inputs!$E$114:$E$125,MATCH(F127,Inputs!$C$114:$C$125,0))</f>
        <v>4.8504549439315578E-2</v>
      </c>
      <c r="R127" s="840">
        <f>Q127*INDEX(Annual!$U$9:$U$22,MATCH(AC127,Annual!$AD$9:$AD$22,0))</f>
        <v>254.14998061931666</v>
      </c>
      <c r="S127" s="164">
        <f t="shared" si="39"/>
        <v>48.098900432128168</v>
      </c>
      <c r="T127" s="165">
        <f>INDEX(Inputs!$F$114:$F$125,MATCH(F127,Inputs!$C$114:$C$125,0))</f>
        <v>0.15389107898963353</v>
      </c>
      <c r="U127" s="264">
        <f>T127*IF(D127="HP prior to CVEO",INDEX(Annual!$P$9:$P$22,MATCH(AC127,Annual!$AD$9:$AD$22,0)),INDEX(Annual!$V$9:$V$22,MATCH(AC127,Annual!$AD$9:$AD$22,0)))</f>
        <v>364.67788832572018</v>
      </c>
      <c r="V127" s="222">
        <f>IF(E127="No",0,_xlfn.IFNA(INDEX(Inputs!$E$50:$E$53,MATCH("Events in "&amp;F127,Inputs!$C$50:$C$53,0)),0)*Inputs!$E$46*Inputs!$E$54)</f>
        <v>0</v>
      </c>
      <c r="W127" s="166">
        <f>V127*(1-Inputs!$E$48)</f>
        <v>0</v>
      </c>
      <c r="X127" s="120">
        <f t="shared" si="32"/>
        <v>871.3622337263098</v>
      </c>
      <c r="Y127" s="120">
        <f t="shared" si="33"/>
        <v>617.2122531069931</v>
      </c>
      <c r="Z127" s="20">
        <f t="shared" si="34"/>
        <v>122.60988774951089</v>
      </c>
      <c r="AA127" s="20">
        <f t="shared" si="40"/>
        <v>0</v>
      </c>
      <c r="AB127" s="21">
        <f t="shared" si="36"/>
        <v>211.39635818881186</v>
      </c>
      <c r="AC127" s="185" t="str">
        <f t="shared" si="25"/>
        <v>Income EligiblePropaneDuctedNo</v>
      </c>
      <c r="AD127" t="s">
        <v>27</v>
      </c>
      <c r="AI127" s="58"/>
    </row>
    <row r="128" spans="2:35" x14ac:dyDescent="0.25">
      <c r="B128" s="36" t="s">
        <v>117</v>
      </c>
      <c r="C128" t="s">
        <v>138</v>
      </c>
      <c r="D128" t="s">
        <v>131</v>
      </c>
      <c r="E128" t="s">
        <v>234</v>
      </c>
      <c r="F128" s="18" t="s">
        <v>101</v>
      </c>
      <c r="G128" s="239">
        <f>IF($B128="Residential",0,Inputs!$E$103)</f>
        <v>0.42</v>
      </c>
      <c r="H128" s="162">
        <f>Inputs!$E$98/12</f>
        <v>10</v>
      </c>
      <c r="I128" s="184">
        <f>INDEX(Inputs!$D$114:$D$125,MATCH(F128,Inputs!$C$114:$C$125,0))</f>
        <v>4.6359999999999998E-2</v>
      </c>
      <c r="J128" s="161">
        <f>Inputs!$E$100</f>
        <v>0.29464000000000001</v>
      </c>
      <c r="K128" s="139">
        <f>Inputs!$E$101</f>
        <v>2.8649999999999998E-2</v>
      </c>
      <c r="L128" s="791">
        <f>EES!$I$23</f>
        <v>3.0100000000000023E-3</v>
      </c>
      <c r="M128" s="190">
        <f t="shared" ref="M128:M139" si="41">SUM(J128:L128)</f>
        <v>0.32630000000000003</v>
      </c>
      <c r="N128" s="192" t="str">
        <f t="shared" si="19"/>
        <v>R2RESASST</v>
      </c>
      <c r="O128" s="134">
        <f>SUMIFS(Sales!$E$7:$E$54,Sales!$B$7:$B$54,$F128,Sales!$C$7:$C$54,$N128)/SUMIFS(Sales!$E$7:$E$54,Sales!$C$7:$C$54,$N128)</f>
        <v>9.2016295941963519E-2</v>
      </c>
      <c r="P128" s="120">
        <f>O128*(INDEX(Annual!$O$9:$O$22,MATCH($AC128,Annual!$AD$9:$AD$22,0)))</f>
        <v>524.49288686919203</v>
      </c>
      <c r="Q128" s="134">
        <f>INDEX(Inputs!$E$114:$E$125,MATCH(F128,Inputs!$C$114:$C$125,0))</f>
        <v>5.9304226053352373E-2</v>
      </c>
      <c r="R128" s="840">
        <f>Q128*INDEX(Annual!$U$9:$U$22,MATCH(AC128,Annual!$AD$9:$AD$22,0))</f>
        <v>702.16203647169209</v>
      </c>
      <c r="S128" s="164">
        <f t="shared" si="29"/>
        <v>132.88697405041364</v>
      </c>
      <c r="T128" s="165">
        <f>INDEX(Inputs!$F$114:$F$125,MATCH(F128,Inputs!$C$114:$C$125,0))</f>
        <v>0.16338151554971528</v>
      </c>
      <c r="U128" s="264">
        <f>T128*IF(D128="HP prior to CVEO",INDEX(Annual!$P$9:$P$22,MATCH(AC128,Annual!$AD$9:$AD$22,0)),INDEX(Annual!$V$9:$V$22,MATCH(AC128,Annual!$AD$9:$AD$22,0)))</f>
        <v>603.43228234191952</v>
      </c>
      <c r="V128" s="222">
        <f>IF(E128="No",0,_xlfn.IFNA(INDEX(Inputs!$E$50:$E$53,MATCH("Events in "&amp;F128,Inputs!$C$50:$C$53,0)),0)*Inputs!$E$46*Inputs!$E$54)</f>
        <v>0</v>
      </c>
      <c r="W128" s="166">
        <f>V128*(1-Inputs!$E$48)</f>
        <v>0</v>
      </c>
      <c r="X128" s="120">
        <f t="shared" si="32"/>
        <v>1127.9251692111116</v>
      </c>
      <c r="Y128" s="120">
        <f t="shared" si="33"/>
        <v>425.76313273941946</v>
      </c>
      <c r="Z128" s="20">
        <f t="shared" si="34"/>
        <v>86.377375923466104</v>
      </c>
      <c r="AA128" s="20">
        <f t="shared" ref="AA128:AA139" si="42">IF(Y128&gt;0,0,-Y128*$I128)</f>
        <v>0</v>
      </c>
      <c r="AB128" s="21">
        <f t="shared" si="36"/>
        <v>148.92651021287259</v>
      </c>
      <c r="AC128" s="185" t="str">
        <f t="shared" si="25"/>
        <v>Income EligibleElectricDuctlessNo</v>
      </c>
      <c r="AD128" t="s">
        <v>27</v>
      </c>
      <c r="AI128" s="58"/>
    </row>
    <row r="129" spans="2:35" x14ac:dyDescent="0.25">
      <c r="B129" s="36" t="s">
        <v>117</v>
      </c>
      <c r="C129" t="s">
        <v>138</v>
      </c>
      <c r="D129" t="s">
        <v>131</v>
      </c>
      <c r="E129" t="s">
        <v>234</v>
      </c>
      <c r="F129" s="18" t="s">
        <v>102</v>
      </c>
      <c r="G129" s="239">
        <f>IF($B129="Residential",0,Inputs!$E$103)</f>
        <v>0.42</v>
      </c>
      <c r="H129" s="162">
        <f>Inputs!$E$98/12</f>
        <v>10</v>
      </c>
      <c r="I129" s="184">
        <f>INDEX(Inputs!$D$114:$D$125,MATCH(F129,Inputs!$C$114:$C$125,0))</f>
        <v>3.5580000000000001E-2</v>
      </c>
      <c r="J129" s="161">
        <f>Inputs!$E$100</f>
        <v>0.29464000000000001</v>
      </c>
      <c r="K129" s="139">
        <f>Inputs!$E$101</f>
        <v>2.8649999999999998E-2</v>
      </c>
      <c r="L129" s="791">
        <f>EES!$I$23</f>
        <v>3.0100000000000023E-3</v>
      </c>
      <c r="M129" s="190">
        <f t="shared" si="41"/>
        <v>0.32630000000000003</v>
      </c>
      <c r="N129" s="192" t="str">
        <f t="shared" si="19"/>
        <v>R2RESASST</v>
      </c>
      <c r="O129" s="134">
        <f>SUMIFS(Sales!$E$7:$E$54,Sales!$B$7:$B$54,$F129,Sales!$C$7:$C$54,$N129)/SUMIFS(Sales!$E$7:$E$54,Sales!$C$7:$C$54,$N129)</f>
        <v>8.696932108954479E-2</v>
      </c>
      <c r="P129" s="120">
        <f>O129*(INDEX(Annual!$O$9:$O$22,MATCH($AC129,Annual!$AD$9:$AD$22,0)))</f>
        <v>495.72513021040533</v>
      </c>
      <c r="Q129" s="134">
        <f>INDEX(Inputs!$E$114:$E$125,MATCH(F129,Inputs!$C$114:$C$125,0))</f>
        <v>7.056160122921061E-2</v>
      </c>
      <c r="R129" s="840">
        <f>Q129*INDEX(Annual!$U$9:$U$22,MATCH(AC129,Annual!$AD$9:$AD$22,0))</f>
        <v>835.44935855385359</v>
      </c>
      <c r="S129" s="164">
        <f t="shared" si="29"/>
        <v>158.11213290375105</v>
      </c>
      <c r="T129" s="165">
        <f>INDEX(Inputs!$F$114:$F$125,MATCH(F129,Inputs!$C$114:$C$125,0))</f>
        <v>0.2087896043217988</v>
      </c>
      <c r="U129" s="264">
        <f>T129*IF(D129="HP prior to CVEO",INDEX(Annual!$P$9:$P$22,MATCH(AC129,Annual!$AD$9:$AD$22,0)),INDEX(Annual!$V$9:$V$22,MATCH(AC129,Annual!$AD$9:$AD$22,0)))</f>
        <v>771.14223748788652</v>
      </c>
      <c r="V129" s="222">
        <f>IF(E129="No",0,_xlfn.IFNA(INDEX(Inputs!$E$50:$E$53,MATCH("Events in "&amp;F129,Inputs!$C$50:$C$53,0)),0)*Inputs!$E$46*Inputs!$E$54)</f>
        <v>0</v>
      </c>
      <c r="W129" s="166">
        <f>V129*(1-Inputs!$E$48)</f>
        <v>0</v>
      </c>
      <c r="X129" s="120">
        <f t="shared" si="32"/>
        <v>1266.8673676982919</v>
      </c>
      <c r="Y129" s="120">
        <f t="shared" si="33"/>
        <v>431.41800914443832</v>
      </c>
      <c r="Z129" s="20">
        <f t="shared" si="34"/>
        <v>87.447583902621545</v>
      </c>
      <c r="AA129" s="20">
        <f t="shared" si="42"/>
        <v>0</v>
      </c>
      <c r="AB129" s="21">
        <f t="shared" si="36"/>
        <v>150.77169638383023</v>
      </c>
      <c r="AC129" s="185" t="str">
        <f t="shared" si="25"/>
        <v>Income EligibleElectricDuctlessNo</v>
      </c>
      <c r="AD129" t="s">
        <v>27</v>
      </c>
      <c r="AI129" s="58"/>
    </row>
    <row r="130" spans="2:35" x14ac:dyDescent="0.25">
      <c r="B130" s="36" t="s">
        <v>117</v>
      </c>
      <c r="C130" t="s">
        <v>138</v>
      </c>
      <c r="D130" t="s">
        <v>131</v>
      </c>
      <c r="E130" t="s">
        <v>234</v>
      </c>
      <c r="F130" s="18" t="s">
        <v>103</v>
      </c>
      <c r="G130" s="239">
        <f>IF($B130="Residential",0,Inputs!$E$103)</f>
        <v>0.42</v>
      </c>
      <c r="H130" s="162">
        <f>Inputs!$E$98/12</f>
        <v>10</v>
      </c>
      <c r="I130" s="184">
        <f>INDEX(Inputs!$D$114:$D$125,MATCH(F130,Inputs!$C$114:$C$125,0))</f>
        <v>3.8429999999999999E-2</v>
      </c>
      <c r="J130" s="161">
        <f>Inputs!$E$100</f>
        <v>0.29464000000000001</v>
      </c>
      <c r="K130" s="139">
        <f>Inputs!$E$101</f>
        <v>2.8649999999999998E-2</v>
      </c>
      <c r="L130" s="791">
        <f>EES!$I$23</f>
        <v>3.0100000000000023E-3</v>
      </c>
      <c r="M130" s="190">
        <f t="shared" si="41"/>
        <v>0.32630000000000003</v>
      </c>
      <c r="N130" s="192" t="str">
        <f t="shared" si="19"/>
        <v>R2RESASST</v>
      </c>
      <c r="O130" s="134">
        <f>SUMIFS(Sales!$E$7:$E$54,Sales!$B$7:$B$54,$F130,Sales!$C$7:$C$54,$N130)/SUMIFS(Sales!$E$7:$E$54,Sales!$C$7:$C$54,$N130)</f>
        <v>8.0952699753921803E-2</v>
      </c>
      <c r="P130" s="120">
        <f>O130*(INDEX(Annual!$O$9:$O$22,MATCH($AC130,Annual!$AD$9:$AD$22,0)))</f>
        <v>461.43038859735429</v>
      </c>
      <c r="Q130" s="134">
        <f>INDEX(Inputs!$E$114:$E$125,MATCH(F130,Inputs!$C$114:$C$125,0))</f>
        <v>9.1691796536674613E-2</v>
      </c>
      <c r="R130" s="840">
        <f>Q130*INDEX(Annual!$U$9:$U$22,MATCH(AC130,Annual!$AD$9:$AD$22,0))</f>
        <v>1085.6308709942275</v>
      </c>
      <c r="S130" s="164">
        <f t="shared" si="29"/>
        <v>205.4599848591416</v>
      </c>
      <c r="T130" s="165">
        <f>INDEX(Inputs!$F$114:$F$125,MATCH(F130,Inputs!$C$114:$C$125,0))</f>
        <v>0.14002044094028326</v>
      </c>
      <c r="U130" s="264">
        <f>T130*IF(D130="HP prior to CVEO",INDEX(Annual!$P$9:$P$22,MATCH(AC130,Annual!$AD$9:$AD$22,0)),INDEX(Annual!$V$9:$V$22,MATCH(AC130,Annual!$AD$9:$AD$22,0)))</f>
        <v>517.15063339222604</v>
      </c>
      <c r="V130" s="222">
        <f>IF(E130="No",0,_xlfn.IFNA(INDEX(Inputs!$E$50:$E$53,MATCH("Events in "&amp;F130,Inputs!$C$50:$C$53,0)),0)*Inputs!$E$46*Inputs!$E$54)</f>
        <v>0</v>
      </c>
      <c r="W130" s="166">
        <f>V130*(1-Inputs!$E$48)</f>
        <v>0</v>
      </c>
      <c r="X130" s="120">
        <f t="shared" si="32"/>
        <v>978.58102198958034</v>
      </c>
      <c r="Y130" s="120">
        <f t="shared" si="33"/>
        <v>-107.04984900464717</v>
      </c>
      <c r="Z130" s="20">
        <f t="shared" si="34"/>
        <v>1.6860743027514102</v>
      </c>
      <c r="AA130" s="20">
        <f t="shared" si="42"/>
        <v>4.1139256972485905</v>
      </c>
      <c r="AB130" s="21">
        <f t="shared" si="36"/>
        <v>5.8860743027514095</v>
      </c>
      <c r="AC130" s="185" t="str">
        <f t="shared" si="25"/>
        <v>Income EligibleElectricDuctlessNo</v>
      </c>
      <c r="AD130" t="s">
        <v>27</v>
      </c>
      <c r="AI130" s="58"/>
    </row>
    <row r="131" spans="2:35" x14ac:dyDescent="0.25">
      <c r="B131" s="36" t="s">
        <v>117</v>
      </c>
      <c r="C131" t="s">
        <v>138</v>
      </c>
      <c r="D131" t="s">
        <v>131</v>
      </c>
      <c r="E131" t="s">
        <v>234</v>
      </c>
      <c r="F131" s="18" t="s">
        <v>104</v>
      </c>
      <c r="G131" s="239">
        <f>IF($B131="Residential",0,Inputs!$E$103)</f>
        <v>0.42</v>
      </c>
      <c r="H131" s="162">
        <f>Inputs!$E$98/12</f>
        <v>10</v>
      </c>
      <c r="I131" s="184">
        <f>INDEX(Inputs!$D$114:$D$125,MATCH(F131,Inputs!$C$114:$C$125,0))</f>
        <v>3.9399999999999998E-2</v>
      </c>
      <c r="J131" s="161">
        <f>Inputs!$E$100</f>
        <v>0.29464000000000001</v>
      </c>
      <c r="K131" s="139">
        <f>Inputs!$E$101</f>
        <v>2.8649999999999998E-2</v>
      </c>
      <c r="L131" s="791">
        <f>EES!$I$23</f>
        <v>3.0100000000000023E-3</v>
      </c>
      <c r="M131" s="190">
        <f t="shared" si="41"/>
        <v>0.32630000000000003</v>
      </c>
      <c r="N131" s="192" t="str">
        <f t="shared" si="19"/>
        <v>R2RESASST</v>
      </c>
      <c r="O131" s="134">
        <f>SUMIFS(Sales!$E$7:$E$54,Sales!$B$7:$B$54,$F131,Sales!$C$7:$C$54,$N131)/SUMIFS(Sales!$E$7:$E$54,Sales!$C$7:$C$54,$N131)</f>
        <v>7.557098328361167E-2</v>
      </c>
      <c r="P131" s="120">
        <f>O131*(INDEX(Annual!$O$9:$O$22,MATCH($AC131,Annual!$AD$9:$AD$22,0)))</f>
        <v>430.75460471658653</v>
      </c>
      <c r="Q131" s="134">
        <f>INDEX(Inputs!$E$114:$E$125,MATCH(F131,Inputs!$C$114:$C$125,0))</f>
        <v>9.5902218316044743E-2</v>
      </c>
      <c r="R131" s="840">
        <f>Q131*INDEX(Annual!$U$9:$U$22,MATCH(AC131,Annual!$AD$9:$AD$22,0))</f>
        <v>1135.4822648619697</v>
      </c>
      <c r="S131" s="164">
        <f t="shared" si="29"/>
        <v>214.89456055418725</v>
      </c>
      <c r="T131" s="165">
        <f>INDEX(Inputs!$F$114:$F$125,MATCH(F131,Inputs!$C$114:$C$125,0))</f>
        <v>8.1909767849321066E-2</v>
      </c>
      <c r="U131" s="264">
        <f>T131*IF(D131="HP prior to CVEO",INDEX(Annual!$P$9:$P$22,MATCH(AC131,Annual!$AD$9:$AD$22,0)),INDEX(Annual!$V$9:$V$22,MATCH(AC131,Annual!$AD$9:$AD$22,0)))</f>
        <v>302.52503162986318</v>
      </c>
      <c r="V131" s="222">
        <f>IF(E131="No",0,_xlfn.IFNA(INDEX(Inputs!$E$50:$E$53,MATCH("Events in "&amp;F131,Inputs!$C$50:$C$53,0)),0)*Inputs!$E$46*Inputs!$E$54)</f>
        <v>0</v>
      </c>
      <c r="W131" s="166">
        <f>V131*(1-Inputs!$E$48)</f>
        <v>0</v>
      </c>
      <c r="X131" s="120">
        <f t="shared" si="32"/>
        <v>733.27963634644971</v>
      </c>
      <c r="Y131" s="120">
        <f t="shared" si="33"/>
        <v>-402.20262851552002</v>
      </c>
      <c r="Z131" s="20">
        <f t="shared" si="34"/>
        <v>-10.046783563511488</v>
      </c>
      <c r="AA131" s="20">
        <f t="shared" si="42"/>
        <v>15.846783563511488</v>
      </c>
      <c r="AB131" s="21">
        <f t="shared" si="36"/>
        <v>-5.8467835635114884</v>
      </c>
      <c r="AC131" s="185" t="str">
        <f t="shared" si="25"/>
        <v>Income EligibleElectricDuctlessNo</v>
      </c>
      <c r="AD131" t="s">
        <v>27</v>
      </c>
      <c r="AI131" s="58"/>
    </row>
    <row r="132" spans="2:35" x14ac:dyDescent="0.25">
      <c r="B132" s="36" t="s">
        <v>117</v>
      </c>
      <c r="C132" t="s">
        <v>138</v>
      </c>
      <c r="D132" t="s">
        <v>131</v>
      </c>
      <c r="E132" t="s">
        <v>234</v>
      </c>
      <c r="F132" s="18" t="s">
        <v>105</v>
      </c>
      <c r="G132" s="239">
        <f>IF($B132="Residential",0,Inputs!$E$103)</f>
        <v>0.42</v>
      </c>
      <c r="H132" s="162">
        <f>Inputs!$E$98/12</f>
        <v>10</v>
      </c>
      <c r="I132" s="184">
        <f>INDEX(Inputs!$D$114:$D$125,MATCH(F132,Inputs!$C$114:$C$125,0))</f>
        <v>4.827E-2</v>
      </c>
      <c r="J132" s="161">
        <f>Inputs!$E$100</f>
        <v>0.29464000000000001</v>
      </c>
      <c r="K132" s="139">
        <f>Inputs!$E$101</f>
        <v>2.8649999999999998E-2</v>
      </c>
      <c r="L132" s="791">
        <f>EES!$I$23</f>
        <v>3.0100000000000023E-3</v>
      </c>
      <c r="M132" s="190">
        <f t="shared" si="41"/>
        <v>0.32630000000000003</v>
      </c>
      <c r="N132" s="192" t="str">
        <f t="shared" si="19"/>
        <v>R2RESASST</v>
      </c>
      <c r="O132" s="134">
        <f>SUMIFS(Sales!$E$7:$E$54,Sales!$B$7:$B$54,$F132,Sales!$C$7:$C$54,$N132)/SUMIFS(Sales!$E$7:$E$54,Sales!$C$7:$C$54,$N132)</f>
        <v>6.7854031841022025E-2</v>
      </c>
      <c r="P132" s="120">
        <f>O132*(INDEX(Annual!$O$9:$O$22,MATCH($AC132,Annual!$AD$9:$AD$22,0)))</f>
        <v>386.76798149382552</v>
      </c>
      <c r="Q132" s="134">
        <f>INDEX(Inputs!$E$114:$E$125,MATCH(F132,Inputs!$C$114:$C$125,0))</f>
        <v>0.10405019139401983</v>
      </c>
      <c r="R132" s="840">
        <f>Q132*INDEX(Annual!$U$9:$U$22,MATCH(AC132,Annual!$AD$9:$AD$22,0))</f>
        <v>1231.9542661051948</v>
      </c>
      <c r="S132" s="164">
        <f t="shared" si="29"/>
        <v>233.15227267747261</v>
      </c>
      <c r="T132" s="165">
        <f>INDEX(Inputs!$F$114:$F$125,MATCH(F132,Inputs!$C$114:$C$125,0))</f>
        <v>5.577456563001898E-2</v>
      </c>
      <c r="U132" s="264">
        <f>T132*IF(D132="HP prior to CVEO",INDEX(Annual!$P$9:$P$22,MATCH(AC132,Annual!$AD$9:$AD$22,0)),INDEX(Annual!$V$9:$V$22,MATCH(AC132,Annual!$AD$9:$AD$22,0)))</f>
        <v>205.99743686739345</v>
      </c>
      <c r="V132" s="222">
        <f>IF(E132="No",0,_xlfn.IFNA(INDEX(Inputs!$E$50:$E$53,MATCH("Events in "&amp;F132,Inputs!$C$50:$C$53,0)),0)*Inputs!$E$46*Inputs!$E$54)</f>
        <v>0</v>
      </c>
      <c r="W132" s="166">
        <f>V132*(1-Inputs!$E$48)</f>
        <v>0</v>
      </c>
      <c r="X132" s="120">
        <f t="shared" si="32"/>
        <v>592.76541836121896</v>
      </c>
      <c r="Y132" s="120">
        <f t="shared" si="33"/>
        <v>-639.18884774397588</v>
      </c>
      <c r="Z132" s="20">
        <f t="shared" si="34"/>
        <v>-25.053645680601715</v>
      </c>
      <c r="AA132" s="20">
        <f t="shared" si="42"/>
        <v>30.853645680601716</v>
      </c>
      <c r="AB132" s="21">
        <f t="shared" si="36"/>
        <v>-20.853645680601716</v>
      </c>
      <c r="AC132" s="185" t="str">
        <f t="shared" si="25"/>
        <v>Income EligibleElectricDuctlessNo</v>
      </c>
      <c r="AD132" t="s">
        <v>27</v>
      </c>
      <c r="AI132" s="58"/>
    </row>
    <row r="133" spans="2:35" x14ac:dyDescent="0.25">
      <c r="B133" s="36" t="s">
        <v>117</v>
      </c>
      <c r="C133" t="s">
        <v>138</v>
      </c>
      <c r="D133" t="s">
        <v>131</v>
      </c>
      <c r="E133" t="s">
        <v>234</v>
      </c>
      <c r="F133" s="18" t="s">
        <v>106</v>
      </c>
      <c r="G133" s="239">
        <f>IF($B133="Residential",0,Inputs!$E$103)</f>
        <v>0.42</v>
      </c>
      <c r="H133" s="162">
        <f>Inputs!$E$98/12</f>
        <v>10</v>
      </c>
      <c r="I133" s="184">
        <f>INDEX(Inputs!$D$114:$D$125,MATCH(F133,Inputs!$C$114:$C$125,0))</f>
        <v>5.8689999999999999E-2</v>
      </c>
      <c r="J133" s="161">
        <f>Inputs!$E$100</f>
        <v>0.29464000000000001</v>
      </c>
      <c r="K133" s="139">
        <f>Inputs!$E$101</f>
        <v>2.8649999999999998E-2</v>
      </c>
      <c r="L133" s="791">
        <f>EES!$I$23</f>
        <v>3.0100000000000023E-3</v>
      </c>
      <c r="M133" s="190">
        <f t="shared" si="41"/>
        <v>0.32630000000000003</v>
      </c>
      <c r="N133" s="192" t="str">
        <f t="shared" si="19"/>
        <v>R2RESASST</v>
      </c>
      <c r="O133" s="134">
        <f>SUMIFS(Sales!$E$7:$E$54,Sales!$B$7:$B$54,$F133,Sales!$C$7:$C$54,$N133)/SUMIFS(Sales!$E$7:$E$54,Sales!$C$7:$C$54,$N133)</f>
        <v>7.0581775183959652E-2</v>
      </c>
      <c r="P133" s="120">
        <f>O133*(INDEX(Annual!$O$9:$O$22,MATCH($AC133,Annual!$AD$9:$AD$22,0)))</f>
        <v>402.31611854857005</v>
      </c>
      <c r="Q133" s="134">
        <f>INDEX(Inputs!$E$114:$E$125,MATCH(F133,Inputs!$C$114:$C$125,0))</f>
        <v>9.7397110361162206E-2</v>
      </c>
      <c r="R133" s="840">
        <f>Q133*INDEX(Annual!$U$9:$U$22,MATCH(AC133,Annual!$AD$9:$AD$22,0))</f>
        <v>1153.1817866761605</v>
      </c>
      <c r="S133" s="164">
        <f t="shared" si="29"/>
        <v>218.24426585561014</v>
      </c>
      <c r="T133" s="165">
        <f>INDEX(Inputs!$F$114:$F$125,MATCH(F133,Inputs!$C$114:$C$125,0))</f>
        <v>2.044094028325303E-2</v>
      </c>
      <c r="U133" s="264">
        <f>T133*IF(D133="HP prior to CVEO",INDEX(Annual!$P$9:$P$22,MATCH(AC133,Annual!$AD$9:$AD$22,0)),INDEX(Annual!$V$9:$V$22,MATCH(AC133,Annual!$AD$9:$AD$22,0)))</f>
        <v>75.496442830981891</v>
      </c>
      <c r="V133" s="222">
        <f>IF(E133="No",0,_xlfn.IFNA(INDEX(Inputs!$E$50:$E$53,MATCH("Events in "&amp;F133,Inputs!$C$50:$C$53,0)),0)*Inputs!$E$46*Inputs!$E$54)</f>
        <v>0</v>
      </c>
      <c r="W133" s="166">
        <f>V133*(1-Inputs!$E$48)</f>
        <v>0</v>
      </c>
      <c r="X133" s="120">
        <f t="shared" si="32"/>
        <v>477.81256137955194</v>
      </c>
      <c r="Y133" s="120">
        <f t="shared" si="33"/>
        <v>-675.36922529660865</v>
      </c>
      <c r="Z133" s="20">
        <f t="shared" si="34"/>
        <v>-33.837419832657957</v>
      </c>
      <c r="AA133" s="20">
        <f t="shared" si="42"/>
        <v>39.637419832657962</v>
      </c>
      <c r="AB133" s="21">
        <f t="shared" si="36"/>
        <v>-29.637419832657962</v>
      </c>
      <c r="AC133" s="185" t="str">
        <f t="shared" si="25"/>
        <v>Income EligibleElectricDuctlessNo</v>
      </c>
      <c r="AD133" t="s">
        <v>27</v>
      </c>
      <c r="AI133" s="58"/>
    </row>
    <row r="134" spans="2:35" x14ac:dyDescent="0.25">
      <c r="B134" s="36" t="s">
        <v>117</v>
      </c>
      <c r="C134" t="s">
        <v>138</v>
      </c>
      <c r="D134" t="s">
        <v>131</v>
      </c>
      <c r="E134" t="s">
        <v>234</v>
      </c>
      <c r="F134" s="18" t="s">
        <v>107</v>
      </c>
      <c r="G134" s="239">
        <f>IF($B134="Residential",0,Inputs!$E$103)</f>
        <v>0.42</v>
      </c>
      <c r="H134" s="162">
        <f>Inputs!$E$98/12</f>
        <v>10</v>
      </c>
      <c r="I134" s="184">
        <f>INDEX(Inputs!$D$114:$D$125,MATCH(F134,Inputs!$C$114:$C$125,0))</f>
        <v>5.5409999999999994E-2</v>
      </c>
      <c r="J134" s="161">
        <f>Inputs!$E$100</f>
        <v>0.29464000000000001</v>
      </c>
      <c r="K134" s="139">
        <f>Inputs!$E$101</f>
        <v>2.8649999999999998E-2</v>
      </c>
      <c r="L134" s="791">
        <f>EES!$I$23</f>
        <v>3.0100000000000023E-3</v>
      </c>
      <c r="M134" s="190">
        <f t="shared" si="41"/>
        <v>0.32630000000000003</v>
      </c>
      <c r="N134" s="192" t="str">
        <f t="shared" si="19"/>
        <v>R2RESASST</v>
      </c>
      <c r="O134" s="134">
        <f>SUMIFS(Sales!$E$7:$E$54,Sales!$B$7:$B$54,$F134,Sales!$C$7:$C$54,$N134)/SUMIFS(Sales!$E$7:$E$54,Sales!$C$7:$C$54,$N134)</f>
        <v>0.10401220728411072</v>
      </c>
      <c r="P134" s="120">
        <f>O134*(INDEX(Annual!$O$9:$O$22,MATCH($AC134,Annual!$AD$9:$AD$22,0)))</f>
        <v>592.86958151943111</v>
      </c>
      <c r="Q134" s="134">
        <f>INDEX(Inputs!$E$114:$E$125,MATCH(F134,Inputs!$C$114:$C$125,0))</f>
        <v>0.10459025798272056</v>
      </c>
      <c r="R134" s="840">
        <f>Q134*INDEX(Annual!$U$9:$U$22,MATCH(AC134,Annual!$AD$9:$AD$22,0))</f>
        <v>1238.3486545154115</v>
      </c>
      <c r="S134" s="164">
        <f t="shared" si="29"/>
        <v>234.36243626165975</v>
      </c>
      <c r="T134" s="165">
        <f>INDEX(Inputs!$F$114:$F$125,MATCH(F134,Inputs!$C$114:$C$125,0))</f>
        <v>3.9421813403416554E-3</v>
      </c>
      <c r="U134" s="264">
        <f>T134*IF(D134="HP prior to CVEO",INDEX(Annual!$P$9:$P$22,MATCH(AC134,Annual!$AD$9:$AD$22,0)),INDEX(Annual!$V$9:$V$22,MATCH(AC134,Annual!$AD$9:$AD$22,0)))</f>
        <v>14.560028260260793</v>
      </c>
      <c r="V134" s="222">
        <f>IF(E134="No",0,_xlfn.IFNA(INDEX(Inputs!$E$50:$E$53,MATCH("Events in "&amp;F134,Inputs!$C$50:$C$53,0)),0)*Inputs!$E$46*Inputs!$E$54)</f>
        <v>0</v>
      </c>
      <c r="W134" s="166">
        <f>V134*(1-Inputs!$E$48)</f>
        <v>0</v>
      </c>
      <c r="X134" s="120">
        <f t="shared" si="32"/>
        <v>607.42960977969187</v>
      </c>
      <c r="Y134" s="120">
        <f t="shared" si="33"/>
        <v>-630.91904473571958</v>
      </c>
      <c r="Z134" s="20">
        <f t="shared" si="34"/>
        <v>-29.159224268806216</v>
      </c>
      <c r="AA134" s="20">
        <f t="shared" si="42"/>
        <v>34.959224268806217</v>
      </c>
      <c r="AB134" s="21">
        <f t="shared" si="36"/>
        <v>-24.959224268806217</v>
      </c>
      <c r="AC134" s="185" t="str">
        <f t="shared" si="25"/>
        <v>Income EligibleElectricDuctlessNo</v>
      </c>
      <c r="AD134" t="s">
        <v>27</v>
      </c>
      <c r="AI134" s="58"/>
    </row>
    <row r="135" spans="2:35" x14ac:dyDescent="0.25">
      <c r="B135" s="36" t="s">
        <v>117</v>
      </c>
      <c r="C135" t="s">
        <v>138</v>
      </c>
      <c r="D135" t="s">
        <v>131</v>
      </c>
      <c r="E135" t="s">
        <v>234</v>
      </c>
      <c r="F135" s="18" t="s">
        <v>108</v>
      </c>
      <c r="G135" s="239">
        <f>IF($B135="Residential",0,Inputs!$E$103)</f>
        <v>0.42</v>
      </c>
      <c r="H135" s="162">
        <f>Inputs!$E$98/12</f>
        <v>10</v>
      </c>
      <c r="I135" s="184">
        <f>INDEX(Inputs!$D$114:$D$125,MATCH(F135,Inputs!$C$114:$C$125,0))</f>
        <v>5.1479999999999998E-2</v>
      </c>
      <c r="J135" s="161">
        <f>Inputs!$E$100</f>
        <v>0.29464000000000001</v>
      </c>
      <c r="K135" s="139">
        <f>Inputs!$E$101</f>
        <v>2.8649999999999998E-2</v>
      </c>
      <c r="L135" s="791">
        <f>EES!$I$23</f>
        <v>3.0100000000000023E-3</v>
      </c>
      <c r="M135" s="190">
        <f t="shared" si="41"/>
        <v>0.32630000000000003</v>
      </c>
      <c r="N135" s="192" t="str">
        <f t="shared" si="19"/>
        <v>R2RESASST</v>
      </c>
      <c r="O135" s="134">
        <f>SUMIFS(Sales!$E$7:$E$54,Sales!$B$7:$B$54,$F135,Sales!$C$7:$C$54,$N135)/SUMIFS(Sales!$E$7:$E$54,Sales!$C$7:$C$54,$N135)</f>
        <v>0.11294527063791739</v>
      </c>
      <c r="P135" s="120">
        <f>O135*(INDEX(Annual!$O$9:$O$22,MATCH($AC135,Annual!$AD$9:$AD$22,0)))</f>
        <v>643.78804263612915</v>
      </c>
      <c r="Q135" s="134">
        <f>INDEX(Inputs!$E$114:$E$125,MATCH(F135,Inputs!$C$114:$C$125,0))</f>
        <v>9.9163535033348085E-2</v>
      </c>
      <c r="R135" s="840">
        <f>Q135*INDEX(Annual!$U$9:$U$22,MATCH(AC135,Annual!$AD$9:$AD$22,0))</f>
        <v>1174.0962547948413</v>
      </c>
      <c r="S135" s="164">
        <f t="shared" si="29"/>
        <v>222.20241260494296</v>
      </c>
      <c r="T135" s="165">
        <f>INDEX(Inputs!$F$114:$F$125,MATCH(F135,Inputs!$C$114:$C$125,0))</f>
        <v>5.5482552197401083E-3</v>
      </c>
      <c r="U135" s="264">
        <f>T135*IF(D135="HP prior to CVEO",INDEX(Annual!$P$9:$P$22,MATCH(AC135,Annual!$AD$9:$AD$22,0)),INDEX(Annual!$V$9:$V$22,MATCH(AC135,Annual!$AD$9:$AD$22,0)))</f>
        <v>20.491891625552231</v>
      </c>
      <c r="V135" s="222">
        <f>IF(E135="No",0,_xlfn.IFNA(INDEX(Inputs!$E$50:$E$53,MATCH("Events in "&amp;F135,Inputs!$C$50:$C$53,0)),0)*Inputs!$E$46*Inputs!$E$54)</f>
        <v>0</v>
      </c>
      <c r="W135" s="166">
        <f>V135*(1-Inputs!$E$48)</f>
        <v>0</v>
      </c>
      <c r="X135" s="120">
        <f t="shared" si="32"/>
        <v>664.27993426168143</v>
      </c>
      <c r="Y135" s="120">
        <f t="shared" si="33"/>
        <v>-509.81632053315991</v>
      </c>
      <c r="Z135" s="20">
        <f t="shared" si="34"/>
        <v>-20.445344181047069</v>
      </c>
      <c r="AA135" s="20">
        <f t="shared" si="42"/>
        <v>26.24534418104707</v>
      </c>
      <c r="AB135" s="21">
        <f t="shared" si="36"/>
        <v>-16.24534418104707</v>
      </c>
      <c r="AC135" s="185" t="str">
        <f t="shared" si="25"/>
        <v>Income EligibleElectricDuctlessNo</v>
      </c>
      <c r="AD135" t="s">
        <v>27</v>
      </c>
      <c r="AI135" s="58"/>
    </row>
    <row r="136" spans="2:35" x14ac:dyDescent="0.25">
      <c r="B136" s="36" t="s">
        <v>117</v>
      </c>
      <c r="C136" t="s">
        <v>138</v>
      </c>
      <c r="D136" t="s">
        <v>131</v>
      </c>
      <c r="E136" t="s">
        <v>234</v>
      </c>
      <c r="F136" s="18" t="s">
        <v>109</v>
      </c>
      <c r="G136" s="239">
        <f>IF($B136="Residential",0,Inputs!$E$103)</f>
        <v>0.42</v>
      </c>
      <c r="H136" s="162">
        <f>Inputs!$E$98/12</f>
        <v>10</v>
      </c>
      <c r="I136" s="184">
        <f>INDEX(Inputs!$D$114:$D$125,MATCH(F136,Inputs!$C$114:$C$125,0))</f>
        <v>5.4880000000000005E-2</v>
      </c>
      <c r="J136" s="161">
        <f>Inputs!$E$100</f>
        <v>0.29464000000000001</v>
      </c>
      <c r="K136" s="139">
        <f>Inputs!$E$101</f>
        <v>2.8649999999999998E-2</v>
      </c>
      <c r="L136" s="791">
        <f>EES!$I$23</f>
        <v>3.0100000000000023E-3</v>
      </c>
      <c r="M136" s="190">
        <f t="shared" si="41"/>
        <v>0.32630000000000003</v>
      </c>
      <c r="N136" s="192" t="str">
        <f t="shared" si="19"/>
        <v>R2RESASST</v>
      </c>
      <c r="O136" s="134">
        <f>SUMIFS(Sales!$E$7:$E$54,Sales!$B$7:$B$54,$F136,Sales!$C$7:$C$54,$N136)/SUMIFS(Sales!$E$7:$E$54,Sales!$C$7:$C$54,$N136)</f>
        <v>8.9486160574449899E-2</v>
      </c>
      <c r="P136" s="120">
        <f>O136*(INDEX(Annual!$O$9:$O$22,MATCH($AC136,Annual!$AD$9:$AD$22,0)))</f>
        <v>510.07111527436444</v>
      </c>
      <c r="Q136" s="134">
        <f>INDEX(Inputs!$E$114:$E$125,MATCH(F136,Inputs!$C$114:$C$125,0))</f>
        <v>9.3858976615798895E-2</v>
      </c>
      <c r="R136" s="840">
        <f>Q136*INDEX(Annual!$U$9:$U$22,MATCH(AC136,Annual!$AD$9:$AD$22,0))</f>
        <v>1111.2902831310589</v>
      </c>
      <c r="S136" s="164">
        <f t="shared" si="29"/>
        <v>210.31613124368548</v>
      </c>
      <c r="T136" s="165">
        <f>INDEX(Inputs!$F$114:$F$125,MATCH(F136,Inputs!$C$114:$C$125,0))</f>
        <v>1.9272886552781428E-2</v>
      </c>
      <c r="U136" s="264">
        <f>T136*IF(D136="HP prior to CVEO",INDEX(Annual!$P$9:$P$22,MATCH(AC136,Annual!$AD$9:$AD$22,0)),INDEX(Annual!$V$9:$V$22,MATCH(AC136,Annual!$AD$9:$AD$22,0)))</f>
        <v>71.182360383497212</v>
      </c>
      <c r="V136" s="222">
        <f>IF(E136="No",0,_xlfn.IFNA(INDEX(Inputs!$E$50:$E$53,MATCH("Events in "&amp;F136,Inputs!$C$50:$C$53,0)),0)*Inputs!$E$46*Inputs!$E$54)</f>
        <v>0</v>
      </c>
      <c r="W136" s="166">
        <f>V136*(1-Inputs!$E$48)</f>
        <v>0</v>
      </c>
      <c r="X136" s="120">
        <f t="shared" ref="X136:X167" si="43">P136+U136+W136</f>
        <v>581.2534756578616</v>
      </c>
      <c r="Y136" s="120">
        <f t="shared" ref="Y136:Y167" si="44">X136-R136</f>
        <v>-530.03680747319731</v>
      </c>
      <c r="Z136" s="20">
        <f t="shared" ref="Z136:Z167" si="45">IF(Y136&lt;0,(Y136*I136)+(H136*(1-G136)),((Y136*M136)+H136)*(1-G136))</f>
        <v>-23.288419994129072</v>
      </c>
      <c r="AA136" s="20">
        <f t="shared" si="42"/>
        <v>29.088419994129072</v>
      </c>
      <c r="AB136" s="21">
        <f t="shared" ref="AB136:AB167" si="46">IF($B136="Income Eligible",IF(Y136&lt;0,(Y136*I136)+H136,((Y136*M136)+H136)),0)</f>
        <v>-19.088419994129072</v>
      </c>
      <c r="AC136" s="185" t="str">
        <f t="shared" si="25"/>
        <v>Income EligibleElectricDuctlessNo</v>
      </c>
      <c r="AD136" t="s">
        <v>27</v>
      </c>
      <c r="AI136" s="58"/>
    </row>
    <row r="137" spans="2:35" x14ac:dyDescent="0.25">
      <c r="B137" s="36" t="s">
        <v>117</v>
      </c>
      <c r="C137" t="s">
        <v>138</v>
      </c>
      <c r="D137" t="s">
        <v>131</v>
      </c>
      <c r="E137" t="s">
        <v>234</v>
      </c>
      <c r="F137" s="18" t="s">
        <v>110</v>
      </c>
      <c r="G137" s="239">
        <f>IF($B137="Residential",0,Inputs!$E$103)</f>
        <v>0.42</v>
      </c>
      <c r="H137" s="162">
        <f>Inputs!$E$98/12</f>
        <v>10</v>
      </c>
      <c r="I137" s="184">
        <f>INDEX(Inputs!$D$114:$D$125,MATCH(F137,Inputs!$C$114:$C$125,0))</f>
        <v>5.9859999999999997E-2</v>
      </c>
      <c r="J137" s="161">
        <f>Inputs!$E$100</f>
        <v>0.29464000000000001</v>
      </c>
      <c r="K137" s="139">
        <f>Inputs!$E$101</f>
        <v>2.8649999999999998E-2</v>
      </c>
      <c r="L137" s="791">
        <f>EES!$I$23</f>
        <v>3.0100000000000023E-3</v>
      </c>
      <c r="M137" s="190">
        <f t="shared" si="41"/>
        <v>0.32630000000000003</v>
      </c>
      <c r="N137" s="192" t="str">
        <f t="shared" si="19"/>
        <v>R2RESASST</v>
      </c>
      <c r="O137" s="134">
        <f>SUMIFS(Sales!$E$7:$E$54,Sales!$B$7:$B$54,$F137,Sales!$C$7:$C$54,$N137)/SUMIFS(Sales!$E$7:$E$54,Sales!$C$7:$C$54,$N137)</f>
        <v>6.8945458928186681E-2</v>
      </c>
      <c r="P137" s="120">
        <f>O137*(INDEX(Annual!$O$9:$O$22,MATCH($AC137,Annual!$AD$9:$AD$22,0)))</f>
        <v>392.9891158906641</v>
      </c>
      <c r="Q137" s="134">
        <f>INDEX(Inputs!$E$114:$E$125,MATCH(F137,Inputs!$C$114:$C$125,0))</f>
        <v>7.6465910496739911E-2</v>
      </c>
      <c r="R137" s="840">
        <f>Q137*INDEX(Annual!$U$9:$U$22,MATCH(AC137,Annual!$AD$9:$AD$22,0))</f>
        <v>905.35638028140056</v>
      </c>
      <c r="S137" s="164">
        <f t="shared" si="29"/>
        <v>171.34231639377623</v>
      </c>
      <c r="T137" s="165">
        <f>INDEX(Inputs!$F$114:$F$125,MATCH(F137,Inputs!$C$114:$C$125,0))</f>
        <v>4.0589867133888159E-2</v>
      </c>
      <c r="U137" s="264">
        <f>T137*IF(D137="HP prior to CVEO",INDEX(Annual!$P$9:$P$22,MATCH(AC137,Annual!$AD$9:$AD$22,0)),INDEX(Annual!$V$9:$V$22,MATCH(AC137,Annual!$AD$9:$AD$22,0)))</f>
        <v>149.91436505009261</v>
      </c>
      <c r="V137" s="222">
        <f>IF(E137="No",0,_xlfn.IFNA(INDEX(Inputs!$E$50:$E$53,MATCH("Events in "&amp;F137,Inputs!$C$50:$C$53,0)),0)*Inputs!$E$46*Inputs!$E$54)</f>
        <v>0</v>
      </c>
      <c r="W137" s="166">
        <f>V137*(1-Inputs!$E$48)</f>
        <v>0</v>
      </c>
      <c r="X137" s="120">
        <f t="shared" si="43"/>
        <v>542.90348094075671</v>
      </c>
      <c r="Y137" s="120">
        <f t="shared" si="44"/>
        <v>-362.45289934064385</v>
      </c>
      <c r="Z137" s="20">
        <f t="shared" si="45"/>
        <v>-15.896430554530941</v>
      </c>
      <c r="AA137" s="20">
        <f t="shared" si="42"/>
        <v>21.696430554530941</v>
      </c>
      <c r="AB137" s="21">
        <f t="shared" si="46"/>
        <v>-11.696430554530941</v>
      </c>
      <c r="AC137" s="185" t="str">
        <f t="shared" ref="AC137:AC190" si="47">_xlfn.CONCAT(B137:E137)</f>
        <v>Income EligibleElectricDuctlessNo</v>
      </c>
      <c r="AD137" t="s">
        <v>27</v>
      </c>
      <c r="AI137" s="58"/>
    </row>
    <row r="138" spans="2:35" x14ac:dyDescent="0.25">
      <c r="B138" s="36" t="s">
        <v>117</v>
      </c>
      <c r="C138" t="s">
        <v>138</v>
      </c>
      <c r="D138" t="s">
        <v>131</v>
      </c>
      <c r="E138" t="s">
        <v>234</v>
      </c>
      <c r="F138" s="18" t="s">
        <v>111</v>
      </c>
      <c r="G138" s="239">
        <f>IF($B138="Residential",0,Inputs!$E$103)</f>
        <v>0.42</v>
      </c>
      <c r="H138" s="162">
        <f>Inputs!$E$98/12</f>
        <v>10</v>
      </c>
      <c r="I138" s="184">
        <f>INDEX(Inputs!$D$114:$D$125,MATCH(F138,Inputs!$C$114:$C$125,0))</f>
        <v>0.10368000000000001</v>
      </c>
      <c r="J138" s="161">
        <f>Inputs!$E$100</f>
        <v>0.29464000000000001</v>
      </c>
      <c r="K138" s="139">
        <f>Inputs!$E$101</f>
        <v>2.8649999999999998E-2</v>
      </c>
      <c r="L138" s="791">
        <f>EES!$I$23</f>
        <v>3.0100000000000023E-3</v>
      </c>
      <c r="M138" s="190">
        <f t="shared" si="41"/>
        <v>0.32630000000000003</v>
      </c>
      <c r="N138" s="192" t="str">
        <f t="shared" si="19"/>
        <v>R2RESASST</v>
      </c>
      <c r="O138" s="134">
        <f>SUMIFS(Sales!$E$7:$E$54,Sales!$B$7:$B$54,$F138,Sales!$C$7:$C$54,$N138)/SUMIFS(Sales!$E$7:$E$54,Sales!$C$7:$C$54,$N138)</f>
        <v>6.1773805060155777E-2</v>
      </c>
      <c r="P138" s="120">
        <f>O138*(INDEX(Annual!$O$9:$O$22,MATCH($AC138,Annual!$AD$9:$AD$22,0)))</f>
        <v>352.11068884288795</v>
      </c>
      <c r="Q138" s="134">
        <f>INDEX(Inputs!$E$114:$E$125,MATCH(F138,Inputs!$C$114:$C$125,0))</f>
        <v>5.8509626541612472E-2</v>
      </c>
      <c r="R138" s="840">
        <f>Q138*INDEX(Annual!$U$9:$U$22,MATCH(AC138,Annual!$AD$9:$AD$22,0))</f>
        <v>692.7539782526917</v>
      </c>
      <c r="S138" s="164">
        <f t="shared" si="29"/>
        <v>131.10646140023493</v>
      </c>
      <c r="T138" s="165">
        <f>INDEX(Inputs!$F$114:$F$125,MATCH(F138,Inputs!$C$114:$C$125,0))</f>
        <v>0.10643889618922471</v>
      </c>
      <c r="U138" s="264">
        <f>T138*IF(D138="HP prior to CVEO",INDEX(Annual!$P$9:$P$22,MATCH(AC138,Annual!$AD$9:$AD$22,0)),INDEX(Annual!$V$9:$V$22,MATCH(AC138,Annual!$AD$9:$AD$22,0)))</f>
        <v>393.12076302704145</v>
      </c>
      <c r="V138" s="222">
        <f>IF(E138="No",0,_xlfn.IFNA(INDEX(Inputs!$E$50:$E$53,MATCH("Events in "&amp;F138,Inputs!$C$50:$C$53,0)),0)*Inputs!$E$46*Inputs!$E$54)</f>
        <v>0</v>
      </c>
      <c r="W138" s="166">
        <f>V138*(1-Inputs!$E$48)</f>
        <v>0</v>
      </c>
      <c r="X138" s="120">
        <f t="shared" si="43"/>
        <v>745.2314518699294</v>
      </c>
      <c r="Y138" s="120">
        <f t="shared" si="44"/>
        <v>52.477473617237706</v>
      </c>
      <c r="Z138" s="20">
        <f t="shared" si="45"/>
        <v>15.731571791956707</v>
      </c>
      <c r="AA138" s="20">
        <f t="shared" si="42"/>
        <v>0</v>
      </c>
      <c r="AB138" s="21">
        <f t="shared" si="46"/>
        <v>27.123399641304665</v>
      </c>
      <c r="AC138" s="185" t="str">
        <f t="shared" si="47"/>
        <v>Income EligibleElectricDuctlessNo</v>
      </c>
      <c r="AD138" t="s">
        <v>27</v>
      </c>
      <c r="AI138" s="58"/>
    </row>
    <row r="139" spans="2:35" x14ac:dyDescent="0.25">
      <c r="B139" s="36" t="s">
        <v>117</v>
      </c>
      <c r="C139" t="s">
        <v>138</v>
      </c>
      <c r="D139" t="s">
        <v>131</v>
      </c>
      <c r="E139" t="s">
        <v>234</v>
      </c>
      <c r="F139" s="18" t="s">
        <v>112</v>
      </c>
      <c r="G139" s="239">
        <f>IF($B139="Residential",0,Inputs!$E$103)</f>
        <v>0.42</v>
      </c>
      <c r="H139" s="162">
        <f>Inputs!$E$98/12</f>
        <v>10</v>
      </c>
      <c r="I139" s="184">
        <f>INDEX(Inputs!$D$114:$D$125,MATCH(F139,Inputs!$C$114:$C$125,0))</f>
        <v>7.7920000000000003E-2</v>
      </c>
      <c r="J139" s="161">
        <f>Inputs!$E$100</f>
        <v>0.29464000000000001</v>
      </c>
      <c r="K139" s="139">
        <f>Inputs!$E$101</f>
        <v>2.8649999999999998E-2</v>
      </c>
      <c r="L139" s="791">
        <f>EES!$I$23</f>
        <v>3.0100000000000023E-3</v>
      </c>
      <c r="M139" s="190">
        <f t="shared" si="41"/>
        <v>0.32630000000000003</v>
      </c>
      <c r="N139" s="192" t="str">
        <f t="shared" si="19"/>
        <v>R2RESASST</v>
      </c>
      <c r="O139" s="134">
        <f>SUMIFS(Sales!$E$7:$E$54,Sales!$B$7:$B$54,$F139,Sales!$C$7:$C$54,$N139)/SUMIFS(Sales!$E$7:$E$54,Sales!$C$7:$C$54,$N139)</f>
        <v>8.8891990421156086E-2</v>
      </c>
      <c r="P139" s="120">
        <f>O139*(INDEX(Annual!$O$9:$O$22,MATCH($AC139,Annual!$AD$9:$AD$22,0)))</f>
        <v>506.68434540058968</v>
      </c>
      <c r="Q139" s="134">
        <f>INDEX(Inputs!$E$114:$E$125,MATCH(F139,Inputs!$C$114:$C$125,0))</f>
        <v>4.8504549439315578E-2</v>
      </c>
      <c r="R139" s="840">
        <f>Q139*INDEX(Annual!$U$9:$U$22,MATCH(AC139,Annual!$AD$9:$AD$22,0))</f>
        <v>574.29386536149639</v>
      </c>
      <c r="S139" s="164">
        <f t="shared" si="29"/>
        <v>108.68741119512467</v>
      </c>
      <c r="T139" s="165">
        <f>INDEX(Inputs!$F$114:$F$125,MATCH(F139,Inputs!$C$114:$C$125,0))</f>
        <v>0.15389107898963353</v>
      </c>
      <c r="U139" s="264">
        <f>T139*IF(D139="HP prior to CVEO",INDEX(Annual!$P$9:$P$22,MATCH(AC139,Annual!$AD$9:$AD$22,0)),INDEX(Annual!$V$9:$V$22,MATCH(AC139,Annual!$AD$9:$AD$22,0)))</f>
        <v>568.38036245610658</v>
      </c>
      <c r="V139" s="222">
        <f>IF(E139="No",0,_xlfn.IFNA(INDEX(Inputs!$E$50:$E$53,MATCH("Events in "&amp;F139,Inputs!$C$50:$C$53,0)),0)*Inputs!$E$46*Inputs!$E$54)</f>
        <v>0</v>
      </c>
      <c r="W139" s="166">
        <f>V139*(1-Inputs!$E$48)</f>
        <v>0</v>
      </c>
      <c r="X139" s="120">
        <f t="shared" si="43"/>
        <v>1075.0647078566963</v>
      </c>
      <c r="Y139" s="120">
        <f t="shared" si="44"/>
        <v>500.77084249519987</v>
      </c>
      <c r="Z139" s="20">
        <f t="shared" si="45"/>
        <v>100.57288502558657</v>
      </c>
      <c r="AA139" s="20">
        <f t="shared" si="42"/>
        <v>0</v>
      </c>
      <c r="AB139" s="21">
        <f t="shared" si="46"/>
        <v>173.40152590618374</v>
      </c>
      <c r="AC139" s="185" t="str">
        <f t="shared" si="47"/>
        <v>Income EligibleElectricDuctlessNo</v>
      </c>
      <c r="AD139" t="s">
        <v>27</v>
      </c>
      <c r="AG139" s="104"/>
      <c r="AI139" s="58"/>
    </row>
    <row r="140" spans="2:35" x14ac:dyDescent="0.25">
      <c r="B140" s="36" t="s">
        <v>117</v>
      </c>
      <c r="C140" t="s">
        <v>138</v>
      </c>
      <c r="D140" t="s">
        <v>131</v>
      </c>
      <c r="E140" t="s">
        <v>233</v>
      </c>
      <c r="F140" s="18" t="s">
        <v>101</v>
      </c>
      <c r="G140" s="239">
        <f>IF($B140="Residential",0,Inputs!$E$103)</f>
        <v>0.42</v>
      </c>
      <c r="H140" s="162">
        <f>Inputs!$E$98/12</f>
        <v>10</v>
      </c>
      <c r="I140" s="184">
        <f>INDEX(Inputs!$D$114:$D$125,MATCH(F140,Inputs!$C$114:$C$125,0))</f>
        <v>4.6359999999999998E-2</v>
      </c>
      <c r="J140" s="161">
        <f>Inputs!$E$100</f>
        <v>0.29464000000000001</v>
      </c>
      <c r="K140" s="139">
        <f>Inputs!$E$101</f>
        <v>2.8649999999999998E-2</v>
      </c>
      <c r="L140" s="791">
        <f>EES!$I$23</f>
        <v>3.0100000000000023E-3</v>
      </c>
      <c r="M140" s="190">
        <f t="shared" ref="M140:M151" si="48">SUM(J140:L140)</f>
        <v>0.32630000000000003</v>
      </c>
      <c r="N140" s="192" t="str">
        <f t="shared" si="19"/>
        <v>R2RESASST</v>
      </c>
      <c r="O140" s="134">
        <f>SUMIFS(Sales!$E$7:$E$54,Sales!$B$7:$B$54,$F140,Sales!$C$7:$C$54,$N140)/SUMIFS(Sales!$E$7:$E$54,Sales!$C$7:$C$54,$N140)</f>
        <v>9.2016295941963519E-2</v>
      </c>
      <c r="P140" s="120">
        <f>O140*(INDEX(Annual!$O$9:$O$22,MATCH($AC140,Annual!$AD$9:$AD$22,0)))</f>
        <v>524.49288686919203</v>
      </c>
      <c r="Q140" s="134">
        <f>INDEX(Inputs!$E$114:$E$125,MATCH(F140,Inputs!$C$114:$C$125,0))</f>
        <v>5.9304226053352373E-2</v>
      </c>
      <c r="R140" s="840">
        <f>Q140*INDEX(Annual!$U$9:$U$22,MATCH(AC140,Annual!$AD$9:$AD$22,0))</f>
        <v>359.26500143120865</v>
      </c>
      <c r="S140" s="164">
        <f t="shared" ref="S140:S163" si="49">R140*M140*(1-$G140)</f>
        <v>67.992338580861983</v>
      </c>
      <c r="T140" s="165">
        <f>INDEX(Inputs!$F$114:$F$125,MATCH(F140,Inputs!$C$114:$C$125,0))</f>
        <v>0.16338151554971528</v>
      </c>
      <c r="U140" s="264">
        <f>T140*IF(D140="HP prior to CVEO",INDEX(Annual!$P$9:$P$22,MATCH(AC140,Annual!$AD$9:$AD$22,0)),INDEX(Annual!$V$9:$V$22,MATCH(AC140,Annual!$AD$9:$AD$22,0)))</f>
        <v>603.43228234191952</v>
      </c>
      <c r="V140" s="222">
        <f>IF(E140="No",0,_xlfn.IFNA(INDEX(Inputs!$E$50:$E$53,MATCH("Events in "&amp;F140,Inputs!$C$50:$C$53,0)),0)*Inputs!$E$46*Inputs!$E$54)</f>
        <v>0</v>
      </c>
      <c r="W140" s="166">
        <f>V140*(1-Inputs!$E$48)</f>
        <v>0</v>
      </c>
      <c r="X140" s="120">
        <f t="shared" si="43"/>
        <v>1127.9251692111116</v>
      </c>
      <c r="Y140" s="120">
        <f t="shared" si="44"/>
        <v>768.66016777990285</v>
      </c>
      <c r="Z140" s="20">
        <f t="shared" si="45"/>
        <v>151.27201139301778</v>
      </c>
      <c r="AA140" s="20">
        <f t="shared" ref="AA140:AA163" si="50">IF(Y140&gt;0,0,-Y140*$I140)</f>
        <v>0</v>
      </c>
      <c r="AB140" s="21">
        <f t="shared" si="46"/>
        <v>260.81381274658236</v>
      </c>
      <c r="AC140" s="185" t="str">
        <f t="shared" si="47"/>
        <v>Income EligibleElectricDuctlessYes</v>
      </c>
      <c r="AD140" t="s">
        <v>27</v>
      </c>
      <c r="AI140" s="58"/>
    </row>
    <row r="141" spans="2:35" x14ac:dyDescent="0.25">
      <c r="B141" s="36" t="s">
        <v>117</v>
      </c>
      <c r="C141" t="s">
        <v>138</v>
      </c>
      <c r="D141" t="s">
        <v>131</v>
      </c>
      <c r="E141" t="s">
        <v>233</v>
      </c>
      <c r="F141" s="18" t="s">
        <v>102</v>
      </c>
      <c r="G141" s="239">
        <f>IF($B141="Residential",0,Inputs!$E$103)</f>
        <v>0.42</v>
      </c>
      <c r="H141" s="162">
        <f>Inputs!$E$98/12</f>
        <v>10</v>
      </c>
      <c r="I141" s="184">
        <f>INDEX(Inputs!$D$114:$D$125,MATCH(F141,Inputs!$C$114:$C$125,0))</f>
        <v>3.5580000000000001E-2</v>
      </c>
      <c r="J141" s="161">
        <f>Inputs!$E$100</f>
        <v>0.29464000000000001</v>
      </c>
      <c r="K141" s="139">
        <f>Inputs!$E$101</f>
        <v>2.8649999999999998E-2</v>
      </c>
      <c r="L141" s="791">
        <f>EES!$I$23</f>
        <v>3.0100000000000023E-3</v>
      </c>
      <c r="M141" s="190">
        <f t="shared" si="48"/>
        <v>0.32630000000000003</v>
      </c>
      <c r="N141" s="192" t="str">
        <f t="shared" si="19"/>
        <v>R2RESASST</v>
      </c>
      <c r="O141" s="134">
        <f>SUMIFS(Sales!$E$7:$E$54,Sales!$B$7:$B$54,$F141,Sales!$C$7:$C$54,$N141)/SUMIFS(Sales!$E$7:$E$54,Sales!$C$7:$C$54,$N141)</f>
        <v>8.696932108954479E-2</v>
      </c>
      <c r="P141" s="120">
        <f>O141*(INDEX(Annual!$O$9:$O$22,MATCH($AC141,Annual!$AD$9:$AD$22,0)))</f>
        <v>495.72513021040533</v>
      </c>
      <c r="Q141" s="134">
        <f>INDEX(Inputs!$E$114:$E$125,MATCH(F141,Inputs!$C$114:$C$125,0))</f>
        <v>7.056160122921061E-2</v>
      </c>
      <c r="R141" s="840">
        <f>Q141*INDEX(Annual!$U$9:$U$22,MATCH(AC141,Annual!$AD$9:$AD$22,0))</f>
        <v>427.46218024655786</v>
      </c>
      <c r="S141" s="164">
        <f t="shared" si="49"/>
        <v>80.898927460382083</v>
      </c>
      <c r="T141" s="165">
        <f>INDEX(Inputs!$F$114:$F$125,MATCH(F141,Inputs!$C$114:$C$125,0))</f>
        <v>0.2087896043217988</v>
      </c>
      <c r="U141" s="264">
        <f>T141*IF(D141="HP prior to CVEO",INDEX(Annual!$P$9:$P$22,MATCH(AC141,Annual!$AD$9:$AD$22,0)),INDEX(Annual!$V$9:$V$22,MATCH(AC141,Annual!$AD$9:$AD$22,0)))</f>
        <v>771.14223748788652</v>
      </c>
      <c r="V141" s="222">
        <f>IF(E141="No",0,_xlfn.IFNA(INDEX(Inputs!$E$50:$E$53,MATCH("Events in "&amp;F141,Inputs!$C$50:$C$53,0)),0)*Inputs!$E$46*Inputs!$E$54)</f>
        <v>0</v>
      </c>
      <c r="W141" s="166">
        <f>V141*(1-Inputs!$E$48)</f>
        <v>0</v>
      </c>
      <c r="X141" s="120">
        <f t="shared" si="43"/>
        <v>1266.8673676982919</v>
      </c>
      <c r="Y141" s="120">
        <f t="shared" si="44"/>
        <v>839.40518745173404</v>
      </c>
      <c r="Z141" s="20">
        <f t="shared" si="45"/>
        <v>164.66078934599051</v>
      </c>
      <c r="AA141" s="20">
        <f t="shared" si="50"/>
        <v>0</v>
      </c>
      <c r="AB141" s="21">
        <f t="shared" si="46"/>
        <v>283.89791266550083</v>
      </c>
      <c r="AC141" s="185" t="str">
        <f t="shared" si="47"/>
        <v>Income EligibleElectricDuctlessYes</v>
      </c>
      <c r="AD141" t="s">
        <v>27</v>
      </c>
      <c r="AI141" s="58"/>
    </row>
    <row r="142" spans="2:35" x14ac:dyDescent="0.25">
      <c r="B142" s="36" t="s">
        <v>117</v>
      </c>
      <c r="C142" t="s">
        <v>138</v>
      </c>
      <c r="D142" t="s">
        <v>131</v>
      </c>
      <c r="E142" t="s">
        <v>233</v>
      </c>
      <c r="F142" s="18" t="s">
        <v>103</v>
      </c>
      <c r="G142" s="239">
        <f>IF($B142="Residential",0,Inputs!$E$103)</f>
        <v>0.42</v>
      </c>
      <c r="H142" s="162">
        <f>Inputs!$E$98/12</f>
        <v>10</v>
      </c>
      <c r="I142" s="184">
        <f>INDEX(Inputs!$D$114:$D$125,MATCH(F142,Inputs!$C$114:$C$125,0))</f>
        <v>3.8429999999999999E-2</v>
      </c>
      <c r="J142" s="161">
        <f>Inputs!$E$100</f>
        <v>0.29464000000000001</v>
      </c>
      <c r="K142" s="139">
        <f>Inputs!$E$101</f>
        <v>2.8649999999999998E-2</v>
      </c>
      <c r="L142" s="791">
        <f>EES!$I$23</f>
        <v>3.0100000000000023E-3</v>
      </c>
      <c r="M142" s="190">
        <f t="shared" si="48"/>
        <v>0.32630000000000003</v>
      </c>
      <c r="N142" s="192" t="str">
        <f t="shared" si="19"/>
        <v>R2RESASST</v>
      </c>
      <c r="O142" s="134">
        <f>SUMIFS(Sales!$E$7:$E$54,Sales!$B$7:$B$54,$F142,Sales!$C$7:$C$54,$N142)/SUMIFS(Sales!$E$7:$E$54,Sales!$C$7:$C$54,$N142)</f>
        <v>8.0952699753921803E-2</v>
      </c>
      <c r="P142" s="120">
        <f>O142*(INDEX(Annual!$O$9:$O$22,MATCH($AC142,Annual!$AD$9:$AD$22,0)))</f>
        <v>461.43038859735429</v>
      </c>
      <c r="Q142" s="134">
        <f>INDEX(Inputs!$E$114:$E$125,MATCH(F142,Inputs!$C$114:$C$125,0))</f>
        <v>9.1691796536674613E-2</v>
      </c>
      <c r="R142" s="840">
        <f>Q142*INDEX(Annual!$U$9:$U$22,MATCH(AC142,Annual!$AD$9:$AD$22,0))</f>
        <v>555.46890341917481</v>
      </c>
      <c r="S142" s="164">
        <f t="shared" si="49"/>
        <v>105.12471184769254</v>
      </c>
      <c r="T142" s="165">
        <f>INDEX(Inputs!$F$114:$F$125,MATCH(F142,Inputs!$C$114:$C$125,0))</f>
        <v>0.14002044094028326</v>
      </c>
      <c r="U142" s="264">
        <f>T142*IF(D142="HP prior to CVEO",INDEX(Annual!$P$9:$P$22,MATCH(AC142,Annual!$AD$9:$AD$22,0)),INDEX(Annual!$V$9:$V$22,MATCH(AC142,Annual!$AD$9:$AD$22,0)))</f>
        <v>517.15063339222604</v>
      </c>
      <c r="V142" s="222">
        <f>IF(E142="No",0,_xlfn.IFNA(INDEX(Inputs!$E$50:$E$53,MATCH("Events in "&amp;F142,Inputs!$C$50:$C$53,0)),0)*Inputs!$E$46*Inputs!$E$54)</f>
        <v>0</v>
      </c>
      <c r="W142" s="166">
        <f>V142*(1-Inputs!$E$48)</f>
        <v>0</v>
      </c>
      <c r="X142" s="120">
        <f t="shared" si="43"/>
        <v>978.58102198958034</v>
      </c>
      <c r="Y142" s="120">
        <f t="shared" si="44"/>
        <v>423.11211857040553</v>
      </c>
      <c r="Z142" s="20">
        <f t="shared" si="45"/>
        <v>85.875660887923559</v>
      </c>
      <c r="AA142" s="20">
        <f t="shared" si="50"/>
        <v>0</v>
      </c>
      <c r="AB142" s="21">
        <f t="shared" si="46"/>
        <v>148.06148428952335</v>
      </c>
      <c r="AC142" s="185" t="str">
        <f t="shared" si="47"/>
        <v>Income EligibleElectricDuctlessYes</v>
      </c>
      <c r="AD142" t="s">
        <v>27</v>
      </c>
      <c r="AI142" s="58"/>
    </row>
    <row r="143" spans="2:35" x14ac:dyDescent="0.25">
      <c r="B143" s="36" t="s">
        <v>117</v>
      </c>
      <c r="C143" t="s">
        <v>138</v>
      </c>
      <c r="D143" t="s">
        <v>131</v>
      </c>
      <c r="E143" t="s">
        <v>233</v>
      </c>
      <c r="F143" s="18" t="s">
        <v>104</v>
      </c>
      <c r="G143" s="239">
        <f>IF($B143="Residential",0,Inputs!$E$103)</f>
        <v>0.42</v>
      </c>
      <c r="H143" s="162">
        <f>Inputs!$E$98/12</f>
        <v>10</v>
      </c>
      <c r="I143" s="184">
        <f>INDEX(Inputs!$D$114:$D$125,MATCH(F143,Inputs!$C$114:$C$125,0))</f>
        <v>3.9399999999999998E-2</v>
      </c>
      <c r="J143" s="161">
        <f>Inputs!$E$100</f>
        <v>0.29464000000000001</v>
      </c>
      <c r="K143" s="139">
        <f>Inputs!$E$101</f>
        <v>2.8649999999999998E-2</v>
      </c>
      <c r="L143" s="791">
        <f>EES!$I$23</f>
        <v>3.0100000000000023E-3</v>
      </c>
      <c r="M143" s="190">
        <f t="shared" si="48"/>
        <v>0.32630000000000003</v>
      </c>
      <c r="N143" s="192" t="str">
        <f t="shared" si="19"/>
        <v>R2RESASST</v>
      </c>
      <c r="O143" s="134">
        <f>SUMIFS(Sales!$E$7:$E$54,Sales!$B$7:$B$54,$F143,Sales!$C$7:$C$54,$N143)/SUMIFS(Sales!$E$7:$E$54,Sales!$C$7:$C$54,$N143)</f>
        <v>7.557098328361167E-2</v>
      </c>
      <c r="P143" s="120">
        <f>O143*(INDEX(Annual!$O$9:$O$22,MATCH($AC143,Annual!$AD$9:$AD$22,0)))</f>
        <v>430.75460471658653</v>
      </c>
      <c r="Q143" s="134">
        <f>INDEX(Inputs!$E$114:$E$125,MATCH(F143,Inputs!$C$114:$C$125,0))</f>
        <v>9.5902218316044743E-2</v>
      </c>
      <c r="R143" s="840">
        <f>Q143*INDEX(Annual!$U$9:$U$22,MATCH(AC143,Annual!$AD$9:$AD$22,0))</f>
        <v>580.97563855859903</v>
      </c>
      <c r="S143" s="164">
        <f t="shared" si="49"/>
        <v>109.95196349976912</v>
      </c>
      <c r="T143" s="165">
        <f>INDEX(Inputs!$F$114:$F$125,MATCH(F143,Inputs!$C$114:$C$125,0))</f>
        <v>8.1909767849321066E-2</v>
      </c>
      <c r="U143" s="264">
        <f>T143*IF(D143="HP prior to CVEO",INDEX(Annual!$P$9:$P$22,MATCH(AC143,Annual!$AD$9:$AD$22,0)),INDEX(Annual!$V$9:$V$22,MATCH(AC143,Annual!$AD$9:$AD$22,0)))</f>
        <v>302.52503162986318</v>
      </c>
      <c r="V143" s="222">
        <f>IF(E143="No",0,_xlfn.IFNA(INDEX(Inputs!$E$50:$E$53,MATCH("Events in "&amp;F143,Inputs!$C$50:$C$53,0)),0)*Inputs!$E$46*Inputs!$E$54)</f>
        <v>0</v>
      </c>
      <c r="W143" s="166">
        <f>V143*(1-Inputs!$E$48)</f>
        <v>0</v>
      </c>
      <c r="X143" s="120">
        <f t="shared" si="43"/>
        <v>733.27963634644971</v>
      </c>
      <c r="Y143" s="120">
        <f t="shared" si="44"/>
        <v>152.30399778785068</v>
      </c>
      <c r="Z143" s="20">
        <f t="shared" si="45"/>
        <v>34.624140797341902</v>
      </c>
      <c r="AA143" s="20">
        <f t="shared" si="50"/>
        <v>0</v>
      </c>
      <c r="AB143" s="21">
        <f t="shared" si="46"/>
        <v>59.696794478175683</v>
      </c>
      <c r="AC143" s="185" t="str">
        <f t="shared" si="47"/>
        <v>Income EligibleElectricDuctlessYes</v>
      </c>
      <c r="AD143" t="s">
        <v>27</v>
      </c>
      <c r="AI143" s="58"/>
    </row>
    <row r="144" spans="2:35" x14ac:dyDescent="0.25">
      <c r="B144" s="36" t="s">
        <v>117</v>
      </c>
      <c r="C144" t="s">
        <v>138</v>
      </c>
      <c r="D144" t="s">
        <v>131</v>
      </c>
      <c r="E144" t="s">
        <v>233</v>
      </c>
      <c r="F144" s="18" t="s">
        <v>105</v>
      </c>
      <c r="G144" s="239">
        <f>IF($B144="Residential",0,Inputs!$E$103)</f>
        <v>0.42</v>
      </c>
      <c r="H144" s="162">
        <f>Inputs!$E$98/12</f>
        <v>10</v>
      </c>
      <c r="I144" s="184">
        <f>INDEX(Inputs!$D$114:$D$125,MATCH(F144,Inputs!$C$114:$C$125,0))</f>
        <v>4.827E-2</v>
      </c>
      <c r="J144" s="161">
        <f>Inputs!$E$100</f>
        <v>0.29464000000000001</v>
      </c>
      <c r="K144" s="139">
        <f>Inputs!$E$101</f>
        <v>2.8649999999999998E-2</v>
      </c>
      <c r="L144" s="791">
        <f>EES!$I$23</f>
        <v>3.0100000000000023E-3</v>
      </c>
      <c r="M144" s="190">
        <f t="shared" si="48"/>
        <v>0.32630000000000003</v>
      </c>
      <c r="N144" s="192" t="str">
        <f t="shared" si="19"/>
        <v>R2RESASST</v>
      </c>
      <c r="O144" s="134">
        <f>SUMIFS(Sales!$E$7:$E$54,Sales!$B$7:$B$54,$F144,Sales!$C$7:$C$54,$N144)/SUMIFS(Sales!$E$7:$E$54,Sales!$C$7:$C$54,$N144)</f>
        <v>6.7854031841022025E-2</v>
      </c>
      <c r="P144" s="120">
        <f>O144*(INDEX(Annual!$O$9:$O$22,MATCH($AC144,Annual!$AD$9:$AD$22,0)))</f>
        <v>386.76798149382552</v>
      </c>
      <c r="Q144" s="134">
        <f>INDEX(Inputs!$E$114:$E$125,MATCH(F144,Inputs!$C$114:$C$125,0))</f>
        <v>0.10405019139401983</v>
      </c>
      <c r="R144" s="840">
        <f>Q144*INDEX(Annual!$U$9:$U$22,MATCH(AC144,Annual!$AD$9:$AD$22,0))</f>
        <v>630.3360594649721</v>
      </c>
      <c r="S144" s="164">
        <f t="shared" si="49"/>
        <v>119.29362059798386</v>
      </c>
      <c r="T144" s="165">
        <f>INDEX(Inputs!$F$114:$F$125,MATCH(F144,Inputs!$C$114:$C$125,0))</f>
        <v>5.577456563001898E-2</v>
      </c>
      <c r="U144" s="264">
        <f>T144*IF(D144="HP prior to CVEO",INDEX(Annual!$P$9:$P$22,MATCH(AC144,Annual!$AD$9:$AD$22,0)),INDEX(Annual!$V$9:$V$22,MATCH(AC144,Annual!$AD$9:$AD$22,0)))</f>
        <v>205.99743686739345</v>
      </c>
      <c r="V144" s="222">
        <f>IF(E144="No",0,_xlfn.IFNA(INDEX(Inputs!$E$50:$E$53,MATCH("Events in "&amp;F144,Inputs!$C$50:$C$53,0)),0)*Inputs!$E$46*Inputs!$E$54)</f>
        <v>0</v>
      </c>
      <c r="W144" s="166">
        <f>V144*(1-Inputs!$E$48)</f>
        <v>0</v>
      </c>
      <c r="X144" s="120">
        <f t="shared" si="43"/>
        <v>592.76541836121896</v>
      </c>
      <c r="Y144" s="120">
        <f t="shared" si="44"/>
        <v>-37.570641103753132</v>
      </c>
      <c r="Z144" s="20">
        <f t="shared" si="45"/>
        <v>3.986465153921837</v>
      </c>
      <c r="AA144" s="20">
        <f t="shared" si="50"/>
        <v>1.8135348460781637</v>
      </c>
      <c r="AB144" s="21">
        <f t="shared" si="46"/>
        <v>8.1864651539218372</v>
      </c>
      <c r="AC144" s="185" t="str">
        <f t="shared" si="47"/>
        <v>Income EligibleElectricDuctlessYes</v>
      </c>
      <c r="AD144" t="s">
        <v>27</v>
      </c>
      <c r="AI144" s="58"/>
    </row>
    <row r="145" spans="2:35" x14ac:dyDescent="0.25">
      <c r="B145" s="36" t="s">
        <v>117</v>
      </c>
      <c r="C145" t="s">
        <v>138</v>
      </c>
      <c r="D145" t="s">
        <v>131</v>
      </c>
      <c r="E145" t="s">
        <v>233</v>
      </c>
      <c r="F145" s="18" t="s">
        <v>106</v>
      </c>
      <c r="G145" s="239">
        <f>IF($B145="Residential",0,Inputs!$E$103)</f>
        <v>0.42</v>
      </c>
      <c r="H145" s="162">
        <f>Inputs!$E$98/12</f>
        <v>10</v>
      </c>
      <c r="I145" s="184">
        <f>INDEX(Inputs!$D$114:$D$125,MATCH(F145,Inputs!$C$114:$C$125,0))</f>
        <v>5.8689999999999999E-2</v>
      </c>
      <c r="J145" s="161">
        <f>Inputs!$E$100</f>
        <v>0.29464000000000001</v>
      </c>
      <c r="K145" s="139">
        <f>Inputs!$E$101</f>
        <v>2.8649999999999998E-2</v>
      </c>
      <c r="L145" s="791">
        <f>EES!$I$23</f>
        <v>3.0100000000000023E-3</v>
      </c>
      <c r="M145" s="190">
        <f t="shared" si="48"/>
        <v>0.32630000000000003</v>
      </c>
      <c r="N145" s="192" t="str">
        <f t="shared" si="19"/>
        <v>R2RESASST</v>
      </c>
      <c r="O145" s="134">
        <f>SUMIFS(Sales!$E$7:$E$54,Sales!$B$7:$B$54,$F145,Sales!$C$7:$C$54,$N145)/SUMIFS(Sales!$E$7:$E$54,Sales!$C$7:$C$54,$N145)</f>
        <v>7.0581775183959652E-2</v>
      </c>
      <c r="P145" s="120">
        <f>O145*(INDEX(Annual!$O$9:$O$22,MATCH($AC145,Annual!$AD$9:$AD$22,0)))</f>
        <v>402.31611854857005</v>
      </c>
      <c r="Q145" s="134">
        <f>INDEX(Inputs!$E$114:$E$125,MATCH(F145,Inputs!$C$114:$C$125,0))</f>
        <v>9.7397110361162206E-2</v>
      </c>
      <c r="R145" s="840">
        <f>Q145*INDEX(Annual!$U$9:$U$22,MATCH(AC145,Annual!$AD$9:$AD$22,0))</f>
        <v>590.03169456792068</v>
      </c>
      <c r="S145" s="164">
        <f t="shared" si="49"/>
        <v>111.66585832375729</v>
      </c>
      <c r="T145" s="165">
        <f>INDEX(Inputs!$F$114:$F$125,MATCH(F145,Inputs!$C$114:$C$125,0))</f>
        <v>2.044094028325303E-2</v>
      </c>
      <c r="U145" s="264">
        <f>T145*IF(D145="HP prior to CVEO",INDEX(Annual!$P$9:$P$22,MATCH(AC145,Annual!$AD$9:$AD$22,0)),INDEX(Annual!$V$9:$V$22,MATCH(AC145,Annual!$AD$9:$AD$22,0)))</f>
        <v>75.496442830981891</v>
      </c>
      <c r="V145" s="222">
        <f>IF(E145="No",0,_xlfn.IFNA(INDEX(Inputs!$E$50:$E$53,MATCH("Events in "&amp;F145,Inputs!$C$50:$C$53,0)),0)*Inputs!$E$46*Inputs!$E$54)</f>
        <v>13.56</v>
      </c>
      <c r="W145" s="166">
        <f>V145*(1-Inputs!$E$48)</f>
        <v>1.3559999999999997</v>
      </c>
      <c r="X145" s="120">
        <f t="shared" si="43"/>
        <v>479.16856137955193</v>
      </c>
      <c r="Y145" s="120">
        <f t="shared" si="44"/>
        <v>-110.86313318836875</v>
      </c>
      <c r="Z145" s="20">
        <f t="shared" si="45"/>
        <v>-0.7065572868253609</v>
      </c>
      <c r="AA145" s="20">
        <f t="shared" si="50"/>
        <v>6.5065572868253616</v>
      </c>
      <c r="AB145" s="21">
        <f t="shared" si="46"/>
        <v>3.4934427131746384</v>
      </c>
      <c r="AC145" s="185" t="str">
        <f t="shared" si="47"/>
        <v>Income EligibleElectricDuctlessYes</v>
      </c>
      <c r="AD145" t="s">
        <v>27</v>
      </c>
      <c r="AI145" s="58"/>
    </row>
    <row r="146" spans="2:35" x14ac:dyDescent="0.25">
      <c r="B146" s="36" t="s">
        <v>117</v>
      </c>
      <c r="C146" t="s">
        <v>138</v>
      </c>
      <c r="D146" t="s">
        <v>131</v>
      </c>
      <c r="E146" t="s">
        <v>233</v>
      </c>
      <c r="F146" s="18" t="s">
        <v>107</v>
      </c>
      <c r="G146" s="239">
        <f>IF($B146="Residential",0,Inputs!$E$103)</f>
        <v>0.42</v>
      </c>
      <c r="H146" s="162">
        <f>Inputs!$E$98/12</f>
        <v>10</v>
      </c>
      <c r="I146" s="184">
        <f>INDEX(Inputs!$D$114:$D$125,MATCH(F146,Inputs!$C$114:$C$125,0))</f>
        <v>5.5409999999999994E-2</v>
      </c>
      <c r="J146" s="161">
        <f>Inputs!$E$100</f>
        <v>0.29464000000000001</v>
      </c>
      <c r="K146" s="139">
        <f>Inputs!$E$101</f>
        <v>2.8649999999999998E-2</v>
      </c>
      <c r="L146" s="791">
        <f>EES!$I$23</f>
        <v>3.0100000000000023E-3</v>
      </c>
      <c r="M146" s="190">
        <f t="shared" si="48"/>
        <v>0.32630000000000003</v>
      </c>
      <c r="N146" s="192" t="str">
        <f t="shared" si="19"/>
        <v>R2RESASST</v>
      </c>
      <c r="O146" s="134">
        <f>SUMIFS(Sales!$E$7:$E$54,Sales!$B$7:$B$54,$F146,Sales!$C$7:$C$54,$N146)/SUMIFS(Sales!$E$7:$E$54,Sales!$C$7:$C$54,$N146)</f>
        <v>0.10401220728411072</v>
      </c>
      <c r="P146" s="120">
        <f>O146*(INDEX(Annual!$O$9:$O$22,MATCH($AC146,Annual!$AD$9:$AD$22,0)))</f>
        <v>592.86958151943111</v>
      </c>
      <c r="Q146" s="134">
        <f>INDEX(Inputs!$E$114:$E$125,MATCH(F146,Inputs!$C$114:$C$125,0))</f>
        <v>0.10459025798272056</v>
      </c>
      <c r="R146" s="840">
        <f>Q146*INDEX(Annual!$U$9:$U$22,MATCH(AC146,Annual!$AD$9:$AD$22,0))</f>
        <v>633.60778285932122</v>
      </c>
      <c r="S146" s="164">
        <f t="shared" si="49"/>
        <v>119.91280733725802</v>
      </c>
      <c r="T146" s="165">
        <f>INDEX(Inputs!$F$114:$F$125,MATCH(F146,Inputs!$C$114:$C$125,0))</f>
        <v>3.9421813403416554E-3</v>
      </c>
      <c r="U146" s="264">
        <f>T146*IF(D146="HP prior to CVEO",INDEX(Annual!$P$9:$P$22,MATCH(AC146,Annual!$AD$9:$AD$22,0)),INDEX(Annual!$V$9:$V$22,MATCH(AC146,Annual!$AD$9:$AD$22,0)))</f>
        <v>14.560028260260793</v>
      </c>
      <c r="V146" s="222">
        <f>IF(E146="No",0,_xlfn.IFNA(INDEX(Inputs!$E$50:$E$53,MATCH("Events in "&amp;F146,Inputs!$C$50:$C$53,0)),0)*Inputs!$E$46*Inputs!$E$54)</f>
        <v>183.06</v>
      </c>
      <c r="W146" s="166">
        <f>V146*(1-Inputs!$E$48)</f>
        <v>18.305999999999997</v>
      </c>
      <c r="X146" s="120">
        <f t="shared" si="43"/>
        <v>625.73560977969191</v>
      </c>
      <c r="Y146" s="120">
        <f t="shared" si="44"/>
        <v>-7.8721730796293059</v>
      </c>
      <c r="Z146" s="20">
        <f t="shared" si="45"/>
        <v>5.363802889657741</v>
      </c>
      <c r="AA146" s="20">
        <f t="shared" si="50"/>
        <v>0.43619711034225978</v>
      </c>
      <c r="AB146" s="21">
        <f t="shared" si="46"/>
        <v>9.5638028896577403</v>
      </c>
      <c r="AC146" s="185" t="str">
        <f t="shared" si="47"/>
        <v>Income EligibleElectricDuctlessYes</v>
      </c>
      <c r="AD146" t="s">
        <v>27</v>
      </c>
      <c r="AI146" s="58"/>
    </row>
    <row r="147" spans="2:35" x14ac:dyDescent="0.25">
      <c r="B147" s="36" t="s">
        <v>117</v>
      </c>
      <c r="C147" t="s">
        <v>138</v>
      </c>
      <c r="D147" t="s">
        <v>131</v>
      </c>
      <c r="E147" t="s">
        <v>233</v>
      </c>
      <c r="F147" s="18" t="s">
        <v>108</v>
      </c>
      <c r="G147" s="239">
        <f>IF($B147="Residential",0,Inputs!$E$103)</f>
        <v>0.42</v>
      </c>
      <c r="H147" s="162">
        <f>Inputs!$E$98/12</f>
        <v>10</v>
      </c>
      <c r="I147" s="184">
        <f>INDEX(Inputs!$D$114:$D$125,MATCH(F147,Inputs!$C$114:$C$125,0))</f>
        <v>5.1479999999999998E-2</v>
      </c>
      <c r="J147" s="161">
        <f>Inputs!$E$100</f>
        <v>0.29464000000000001</v>
      </c>
      <c r="K147" s="139">
        <f>Inputs!$E$101</f>
        <v>2.8649999999999998E-2</v>
      </c>
      <c r="L147" s="791">
        <f>EES!$I$23</f>
        <v>3.0100000000000023E-3</v>
      </c>
      <c r="M147" s="190">
        <f t="shared" si="48"/>
        <v>0.32630000000000003</v>
      </c>
      <c r="N147" s="192" t="str">
        <f t="shared" si="19"/>
        <v>R2RESASST</v>
      </c>
      <c r="O147" s="134">
        <f>SUMIFS(Sales!$E$7:$E$54,Sales!$B$7:$B$54,$F147,Sales!$C$7:$C$54,$N147)/SUMIFS(Sales!$E$7:$E$54,Sales!$C$7:$C$54,$N147)</f>
        <v>0.11294527063791739</v>
      </c>
      <c r="P147" s="120">
        <f>O147*(INDEX(Annual!$O$9:$O$22,MATCH($AC147,Annual!$AD$9:$AD$22,0)))</f>
        <v>643.78804263612915</v>
      </c>
      <c r="Q147" s="134">
        <f>INDEX(Inputs!$E$114:$E$125,MATCH(F147,Inputs!$C$114:$C$125,0))</f>
        <v>9.9163535033348085E-2</v>
      </c>
      <c r="R147" s="840">
        <f>Q147*INDEX(Annual!$U$9:$U$22,MATCH(AC147,Annual!$AD$9:$AD$22,0))</f>
        <v>600.73269523202271</v>
      </c>
      <c r="S147" s="164">
        <f t="shared" si="49"/>
        <v>113.69106550344125</v>
      </c>
      <c r="T147" s="165">
        <f>INDEX(Inputs!$F$114:$F$125,MATCH(F147,Inputs!$C$114:$C$125,0))</f>
        <v>5.5482552197401083E-3</v>
      </c>
      <c r="U147" s="264">
        <f>T147*IF(D147="HP prior to CVEO",INDEX(Annual!$P$9:$P$22,MATCH(AC147,Annual!$AD$9:$AD$22,0)),INDEX(Annual!$V$9:$V$22,MATCH(AC147,Annual!$AD$9:$AD$22,0)))</f>
        <v>20.491891625552231</v>
      </c>
      <c r="V147" s="222">
        <f>IF(E147="No",0,_xlfn.IFNA(INDEX(Inputs!$E$50:$E$53,MATCH("Events in "&amp;F147,Inputs!$C$50:$C$53,0)),0)*Inputs!$E$46*Inputs!$E$54)</f>
        <v>108.48</v>
      </c>
      <c r="W147" s="166">
        <f>V147*(1-Inputs!$E$48)</f>
        <v>10.847999999999997</v>
      </c>
      <c r="X147" s="120">
        <f t="shared" si="43"/>
        <v>675.12793426168139</v>
      </c>
      <c r="Y147" s="120">
        <f t="shared" si="44"/>
        <v>74.395239029658683</v>
      </c>
      <c r="Z147" s="20">
        <f t="shared" si="45"/>
        <v>19.87959656731903</v>
      </c>
      <c r="AA147" s="20">
        <f t="shared" si="50"/>
        <v>0</v>
      </c>
      <c r="AB147" s="21">
        <f t="shared" si="46"/>
        <v>34.275166495377633</v>
      </c>
      <c r="AC147" s="185" t="str">
        <f t="shared" si="47"/>
        <v>Income EligibleElectricDuctlessYes</v>
      </c>
      <c r="AD147" t="s">
        <v>27</v>
      </c>
      <c r="AI147" s="58"/>
    </row>
    <row r="148" spans="2:35" x14ac:dyDescent="0.25">
      <c r="B148" s="36" t="s">
        <v>117</v>
      </c>
      <c r="C148" t="s">
        <v>138</v>
      </c>
      <c r="D148" t="s">
        <v>131</v>
      </c>
      <c r="E148" t="s">
        <v>233</v>
      </c>
      <c r="F148" s="18" t="s">
        <v>109</v>
      </c>
      <c r="G148" s="239">
        <f>IF($B148="Residential",0,Inputs!$E$103)</f>
        <v>0.42</v>
      </c>
      <c r="H148" s="162">
        <f>Inputs!$E$98/12</f>
        <v>10</v>
      </c>
      <c r="I148" s="184">
        <f>INDEX(Inputs!$D$114:$D$125,MATCH(F148,Inputs!$C$114:$C$125,0))</f>
        <v>5.4880000000000005E-2</v>
      </c>
      <c r="J148" s="161">
        <f>Inputs!$E$100</f>
        <v>0.29464000000000001</v>
      </c>
      <c r="K148" s="139">
        <f>Inputs!$E$101</f>
        <v>2.8649999999999998E-2</v>
      </c>
      <c r="L148" s="791">
        <f>EES!$I$23</f>
        <v>3.0100000000000023E-3</v>
      </c>
      <c r="M148" s="190">
        <f t="shared" si="48"/>
        <v>0.32630000000000003</v>
      </c>
      <c r="N148" s="192" t="str">
        <f t="shared" si="19"/>
        <v>R2RESASST</v>
      </c>
      <c r="O148" s="134">
        <f>SUMIFS(Sales!$E$7:$E$54,Sales!$B$7:$B$54,$F148,Sales!$C$7:$C$54,$N148)/SUMIFS(Sales!$E$7:$E$54,Sales!$C$7:$C$54,$N148)</f>
        <v>8.9486160574449899E-2</v>
      </c>
      <c r="P148" s="120">
        <f>O148*(INDEX(Annual!$O$9:$O$22,MATCH($AC148,Annual!$AD$9:$AD$22,0)))</f>
        <v>510.07111527436444</v>
      </c>
      <c r="Q148" s="134">
        <f>INDEX(Inputs!$E$114:$E$125,MATCH(F148,Inputs!$C$114:$C$125,0))</f>
        <v>9.3858976615798895E-2</v>
      </c>
      <c r="R148" s="840">
        <f>Q148*INDEX(Annual!$U$9:$U$22,MATCH(AC148,Annual!$AD$9:$AD$22,0))</f>
        <v>568.59768033850969</v>
      </c>
      <c r="S148" s="164">
        <f t="shared" si="49"/>
        <v>107.60938539478434</v>
      </c>
      <c r="T148" s="165">
        <f>INDEX(Inputs!$F$114:$F$125,MATCH(F148,Inputs!$C$114:$C$125,0))</f>
        <v>1.9272886552781428E-2</v>
      </c>
      <c r="U148" s="264">
        <f>T148*IF(D148="HP prior to CVEO",INDEX(Annual!$P$9:$P$22,MATCH(AC148,Annual!$AD$9:$AD$22,0)),INDEX(Annual!$V$9:$V$22,MATCH(AC148,Annual!$AD$9:$AD$22,0)))</f>
        <v>71.182360383497212</v>
      </c>
      <c r="V148" s="222">
        <f>IF(E148="No",0,_xlfn.IFNA(INDEX(Inputs!$E$50:$E$53,MATCH("Events in "&amp;F148,Inputs!$C$50:$C$53,0)),0)*Inputs!$E$46*Inputs!$E$54)</f>
        <v>0</v>
      </c>
      <c r="W148" s="166">
        <f>V148*(1-Inputs!$E$48)</f>
        <v>0</v>
      </c>
      <c r="X148" s="120">
        <f t="shared" si="43"/>
        <v>581.2534756578616</v>
      </c>
      <c r="Y148" s="120">
        <f t="shared" si="44"/>
        <v>12.65579531935191</v>
      </c>
      <c r="Z148" s="20">
        <f t="shared" si="45"/>
        <v>8.1951598873686269</v>
      </c>
      <c r="AA148" s="20">
        <f t="shared" si="50"/>
        <v>0</v>
      </c>
      <c r="AB148" s="21">
        <f t="shared" si="46"/>
        <v>14.129586012704529</v>
      </c>
      <c r="AC148" s="185" t="str">
        <f t="shared" si="47"/>
        <v>Income EligibleElectricDuctlessYes</v>
      </c>
      <c r="AD148" t="s">
        <v>27</v>
      </c>
      <c r="AI148" s="58"/>
    </row>
    <row r="149" spans="2:35" x14ac:dyDescent="0.25">
      <c r="B149" s="36" t="s">
        <v>117</v>
      </c>
      <c r="C149" t="s">
        <v>138</v>
      </c>
      <c r="D149" t="s">
        <v>131</v>
      </c>
      <c r="E149" t="s">
        <v>233</v>
      </c>
      <c r="F149" s="18" t="s">
        <v>110</v>
      </c>
      <c r="G149" s="239">
        <f>IF($B149="Residential",0,Inputs!$E$103)</f>
        <v>0.42</v>
      </c>
      <c r="H149" s="162">
        <f>Inputs!$E$98/12</f>
        <v>10</v>
      </c>
      <c r="I149" s="184">
        <f>INDEX(Inputs!$D$114:$D$125,MATCH(F149,Inputs!$C$114:$C$125,0))</f>
        <v>5.9859999999999997E-2</v>
      </c>
      <c r="J149" s="161">
        <f>Inputs!$E$100</f>
        <v>0.29464000000000001</v>
      </c>
      <c r="K149" s="139">
        <f>Inputs!$E$101</f>
        <v>2.8649999999999998E-2</v>
      </c>
      <c r="L149" s="791">
        <f>EES!$I$23</f>
        <v>3.0100000000000023E-3</v>
      </c>
      <c r="M149" s="190">
        <f t="shared" si="48"/>
        <v>0.32630000000000003</v>
      </c>
      <c r="N149" s="192" t="str">
        <f t="shared" si="19"/>
        <v>R2RESASST</v>
      </c>
      <c r="O149" s="134">
        <f>SUMIFS(Sales!$E$7:$E$54,Sales!$B$7:$B$54,$F149,Sales!$C$7:$C$54,$N149)/SUMIFS(Sales!$E$7:$E$54,Sales!$C$7:$C$54,$N149)</f>
        <v>6.8945458928186681E-2</v>
      </c>
      <c r="P149" s="120">
        <f>O149*(INDEX(Annual!$O$9:$O$22,MATCH($AC149,Annual!$AD$9:$AD$22,0)))</f>
        <v>392.9891158906641</v>
      </c>
      <c r="Q149" s="134">
        <f>INDEX(Inputs!$E$114:$E$125,MATCH(F149,Inputs!$C$114:$C$125,0))</f>
        <v>7.6465910496739911E-2</v>
      </c>
      <c r="R149" s="840">
        <f>Q149*INDEX(Annual!$U$9:$U$22,MATCH(AC149,Annual!$AD$9:$AD$22,0))</f>
        <v>463.23048578925039</v>
      </c>
      <c r="S149" s="164">
        <f t="shared" si="49"/>
        <v>87.668222357558818</v>
      </c>
      <c r="T149" s="165">
        <f>INDEX(Inputs!$F$114:$F$125,MATCH(F149,Inputs!$C$114:$C$125,0))</f>
        <v>4.0589867133888159E-2</v>
      </c>
      <c r="U149" s="264">
        <f>T149*IF(D149="HP prior to CVEO",INDEX(Annual!$P$9:$P$22,MATCH(AC149,Annual!$AD$9:$AD$22,0)),INDEX(Annual!$V$9:$V$22,MATCH(AC149,Annual!$AD$9:$AD$22,0)))</f>
        <v>149.91436505009261</v>
      </c>
      <c r="V149" s="222">
        <f>IF(E149="No",0,_xlfn.IFNA(INDEX(Inputs!$E$50:$E$53,MATCH("Events in "&amp;F149,Inputs!$C$50:$C$53,0)),0)*Inputs!$E$46*Inputs!$E$54)</f>
        <v>0</v>
      </c>
      <c r="W149" s="166">
        <f>V149*(1-Inputs!$E$48)</f>
        <v>0</v>
      </c>
      <c r="X149" s="120">
        <f t="shared" si="43"/>
        <v>542.90348094075671</v>
      </c>
      <c r="Y149" s="120">
        <f t="shared" si="44"/>
        <v>79.672995151506314</v>
      </c>
      <c r="Z149" s="20">
        <f t="shared" si="45"/>
        <v>20.878433024403179</v>
      </c>
      <c r="AA149" s="20">
        <f t="shared" si="50"/>
        <v>0</v>
      </c>
      <c r="AB149" s="21">
        <f t="shared" si="46"/>
        <v>35.997298317936512</v>
      </c>
      <c r="AC149" s="185" t="str">
        <f t="shared" si="47"/>
        <v>Income EligibleElectricDuctlessYes</v>
      </c>
      <c r="AD149" t="s">
        <v>27</v>
      </c>
      <c r="AI149" s="58"/>
    </row>
    <row r="150" spans="2:35" x14ac:dyDescent="0.25">
      <c r="B150" s="36" t="s">
        <v>117</v>
      </c>
      <c r="C150" t="s">
        <v>138</v>
      </c>
      <c r="D150" t="s">
        <v>131</v>
      </c>
      <c r="E150" t="s">
        <v>233</v>
      </c>
      <c r="F150" s="18" t="s">
        <v>111</v>
      </c>
      <c r="G150" s="239">
        <f>IF($B150="Residential",0,Inputs!$E$103)</f>
        <v>0.42</v>
      </c>
      <c r="H150" s="162">
        <f>Inputs!$E$98/12</f>
        <v>10</v>
      </c>
      <c r="I150" s="184">
        <f>INDEX(Inputs!$D$114:$D$125,MATCH(F150,Inputs!$C$114:$C$125,0))</f>
        <v>0.10368000000000001</v>
      </c>
      <c r="J150" s="161">
        <f>Inputs!$E$100</f>
        <v>0.29464000000000001</v>
      </c>
      <c r="K150" s="139">
        <f>Inputs!$E$101</f>
        <v>2.8649999999999998E-2</v>
      </c>
      <c r="L150" s="791">
        <f>EES!$I$23</f>
        <v>3.0100000000000023E-3</v>
      </c>
      <c r="M150" s="190">
        <f t="shared" si="48"/>
        <v>0.32630000000000003</v>
      </c>
      <c r="N150" s="192" t="str">
        <f t="shared" si="19"/>
        <v>R2RESASST</v>
      </c>
      <c r="O150" s="134">
        <f>SUMIFS(Sales!$E$7:$E$54,Sales!$B$7:$B$54,$F150,Sales!$C$7:$C$54,$N150)/SUMIFS(Sales!$E$7:$E$54,Sales!$C$7:$C$54,$N150)</f>
        <v>6.1773805060155777E-2</v>
      </c>
      <c r="P150" s="120">
        <f>O150*(INDEX(Annual!$O$9:$O$22,MATCH($AC150,Annual!$AD$9:$AD$22,0)))</f>
        <v>352.11068884288795</v>
      </c>
      <c r="Q150" s="134">
        <f>INDEX(Inputs!$E$114:$E$125,MATCH(F150,Inputs!$C$114:$C$125,0))</f>
        <v>5.8509626541612472E-2</v>
      </c>
      <c r="R150" s="840">
        <f>Q150*INDEX(Annual!$U$9:$U$22,MATCH(AC150,Annual!$AD$9:$AD$22,0))</f>
        <v>354.45131758908838</v>
      </c>
      <c r="S150" s="164">
        <f t="shared" si="49"/>
        <v>67.081329659005348</v>
      </c>
      <c r="T150" s="165">
        <f>INDEX(Inputs!$F$114:$F$125,MATCH(F150,Inputs!$C$114:$C$125,0))</f>
        <v>0.10643889618922471</v>
      </c>
      <c r="U150" s="264">
        <f>T150*IF(D150="HP prior to CVEO",INDEX(Annual!$P$9:$P$22,MATCH(AC150,Annual!$AD$9:$AD$22,0)),INDEX(Annual!$V$9:$V$22,MATCH(AC150,Annual!$AD$9:$AD$22,0)))</f>
        <v>393.12076302704145</v>
      </c>
      <c r="V150" s="222">
        <f>IF(E150="No",0,_xlfn.IFNA(INDEX(Inputs!$E$50:$E$53,MATCH("Events in "&amp;F150,Inputs!$C$50:$C$53,0)),0)*Inputs!$E$46*Inputs!$E$54)</f>
        <v>0</v>
      </c>
      <c r="W150" s="166">
        <f>V150*(1-Inputs!$E$48)</f>
        <v>0</v>
      </c>
      <c r="X150" s="120">
        <f t="shared" si="43"/>
        <v>745.2314518699294</v>
      </c>
      <c r="Y150" s="120">
        <f t="shared" si="44"/>
        <v>390.78013428084103</v>
      </c>
      <c r="Z150" s="20">
        <f t="shared" si="45"/>
        <v>79.756703533186311</v>
      </c>
      <c r="AA150" s="20">
        <f t="shared" si="50"/>
        <v>0</v>
      </c>
      <c r="AB150" s="21">
        <f t="shared" si="46"/>
        <v>137.51155781583844</v>
      </c>
      <c r="AC150" s="185" t="str">
        <f t="shared" si="47"/>
        <v>Income EligibleElectricDuctlessYes</v>
      </c>
      <c r="AD150" t="s">
        <v>27</v>
      </c>
      <c r="AI150" s="58"/>
    </row>
    <row r="151" spans="2:35" x14ac:dyDescent="0.25">
      <c r="B151" s="36" t="s">
        <v>117</v>
      </c>
      <c r="C151" t="s">
        <v>138</v>
      </c>
      <c r="D151" t="s">
        <v>131</v>
      </c>
      <c r="E151" t="s">
        <v>233</v>
      </c>
      <c r="F151" s="18" t="s">
        <v>112</v>
      </c>
      <c r="G151" s="239">
        <f>IF($B151="Residential",0,Inputs!$E$103)</f>
        <v>0.42</v>
      </c>
      <c r="H151" s="162">
        <f>Inputs!$E$98/12</f>
        <v>10</v>
      </c>
      <c r="I151" s="184">
        <f>INDEX(Inputs!$D$114:$D$125,MATCH(F151,Inputs!$C$114:$C$125,0))</f>
        <v>7.7920000000000003E-2</v>
      </c>
      <c r="J151" s="161">
        <f>Inputs!$E$100</f>
        <v>0.29464000000000001</v>
      </c>
      <c r="K151" s="139">
        <f>Inputs!$E$101</f>
        <v>2.8649999999999998E-2</v>
      </c>
      <c r="L151" s="791">
        <f>EES!$I$23</f>
        <v>3.0100000000000023E-3</v>
      </c>
      <c r="M151" s="190">
        <f t="shared" si="48"/>
        <v>0.32630000000000003</v>
      </c>
      <c r="N151" s="192" t="str">
        <f t="shared" si="19"/>
        <v>R2RESASST</v>
      </c>
      <c r="O151" s="134">
        <f>SUMIFS(Sales!$E$7:$E$54,Sales!$B$7:$B$54,$F151,Sales!$C$7:$C$54,$N151)/SUMIFS(Sales!$E$7:$E$54,Sales!$C$7:$C$54,$N151)</f>
        <v>8.8891990421156086E-2</v>
      </c>
      <c r="P151" s="120">
        <f>O151*(INDEX(Annual!$O$9:$O$22,MATCH($AC151,Annual!$AD$9:$AD$22,0)))</f>
        <v>506.68434540058968</v>
      </c>
      <c r="Q151" s="134">
        <f>INDEX(Inputs!$E$114:$E$125,MATCH(F151,Inputs!$C$114:$C$125,0))</f>
        <v>4.8504549439315578E-2</v>
      </c>
      <c r="R151" s="840">
        <f>Q151*INDEX(Annual!$U$9:$U$22,MATCH(AC151,Annual!$AD$9:$AD$22,0))</f>
        <v>293.84056050337375</v>
      </c>
      <c r="S151" s="164">
        <f t="shared" si="49"/>
        <v>55.610501437505505</v>
      </c>
      <c r="T151" s="165">
        <f>INDEX(Inputs!$F$114:$F$125,MATCH(F151,Inputs!$C$114:$C$125,0))</f>
        <v>0.15389107898963353</v>
      </c>
      <c r="U151" s="264">
        <f>T151*IF(D151="HP prior to CVEO",INDEX(Annual!$P$9:$P$22,MATCH(AC151,Annual!$AD$9:$AD$22,0)),INDEX(Annual!$V$9:$V$22,MATCH(AC151,Annual!$AD$9:$AD$22,0)))</f>
        <v>568.38036245610658</v>
      </c>
      <c r="V151" s="222">
        <f>IF(E151="No",0,_xlfn.IFNA(INDEX(Inputs!$E$50:$E$53,MATCH("Events in "&amp;F151,Inputs!$C$50:$C$53,0)),0)*Inputs!$E$46*Inputs!$E$54)</f>
        <v>0</v>
      </c>
      <c r="W151" s="166">
        <f>V151*(1-Inputs!$E$48)</f>
        <v>0</v>
      </c>
      <c r="X151" s="120">
        <f t="shared" si="43"/>
        <v>1075.0647078566963</v>
      </c>
      <c r="Y151" s="120">
        <f t="shared" si="44"/>
        <v>781.22414735332245</v>
      </c>
      <c r="Z151" s="20">
        <f t="shared" si="45"/>
        <v>153.64979478320575</v>
      </c>
      <c r="AA151" s="20">
        <f t="shared" si="50"/>
        <v>0</v>
      </c>
      <c r="AB151" s="21">
        <f t="shared" si="46"/>
        <v>264.91343928138917</v>
      </c>
      <c r="AC151" s="185" t="str">
        <f t="shared" si="47"/>
        <v>Income EligibleElectricDuctlessYes</v>
      </c>
      <c r="AD151" t="s">
        <v>27</v>
      </c>
      <c r="AG151" s="104"/>
      <c r="AI151" s="58"/>
    </row>
    <row r="152" spans="2:35" x14ac:dyDescent="0.25">
      <c r="B152" s="36" t="s">
        <v>117</v>
      </c>
      <c r="C152" t="s">
        <v>138</v>
      </c>
      <c r="D152" t="s">
        <v>721</v>
      </c>
      <c r="E152" t="s">
        <v>234</v>
      </c>
      <c r="F152" s="18" t="s">
        <v>101</v>
      </c>
      <c r="G152" s="239">
        <f>IF($B152="Residential",0,Inputs!$E$103)</f>
        <v>0.42</v>
      </c>
      <c r="H152" s="162">
        <f>Inputs!$E$98/12</f>
        <v>10</v>
      </c>
      <c r="I152" s="184">
        <f>INDEX(Inputs!$D$114:$D$125,MATCH(F152,Inputs!$C$114:$C$125,0))</f>
        <v>4.6359999999999998E-2</v>
      </c>
      <c r="J152" s="161">
        <f>Inputs!$E$100</f>
        <v>0.29464000000000001</v>
      </c>
      <c r="K152" s="139">
        <f>Inputs!$E$101</f>
        <v>2.8649999999999998E-2</v>
      </c>
      <c r="L152" s="791">
        <f>EES!$I$23</f>
        <v>3.0100000000000023E-3</v>
      </c>
      <c r="M152" s="190">
        <f t="shared" ref="M152:M163" si="51">SUM(J152:L152)</f>
        <v>0.32630000000000003</v>
      </c>
      <c r="N152" s="192" t="str">
        <f t="shared" si="19"/>
        <v>R2RESASST</v>
      </c>
      <c r="O152" s="134">
        <f>SUMIFS(Sales!$E$7:$E$54,Sales!$B$7:$B$54,$F152,Sales!$C$7:$C$54,$N152)/SUMIFS(Sales!$E$7:$E$54,Sales!$C$7:$C$54,$N152)</f>
        <v>9.2016295941963519E-2</v>
      </c>
      <c r="P152" s="120">
        <f>O152*(INDEX(Annual!$O$9:$O$22,MATCH($AC152,Annual!$AD$9:$AD$22,0)))</f>
        <v>524.49288686919203</v>
      </c>
      <c r="Q152" s="134">
        <f>INDEX(Inputs!$E$114:$E$125,MATCH(F152,Inputs!$C$114:$C$125,0))</f>
        <v>5.9304226053352373E-2</v>
      </c>
      <c r="R152" s="840">
        <f>Q152*INDEX(Annual!$U$9:$U$22,MATCH(AC152,Annual!$AD$9:$AD$22,0))</f>
        <v>405.13682028347671</v>
      </c>
      <c r="S152" s="164">
        <f t="shared" si="49"/>
        <v>76.673763785929111</v>
      </c>
      <c r="T152" s="165">
        <f>INDEX(Inputs!$F$114:$F$125,MATCH(F152,Inputs!$C$114:$C$125,0))</f>
        <v>0.16338151554971528</v>
      </c>
      <c r="U152" s="264">
        <f>T152*IF(D152="HP prior to CVEO",INDEX(Annual!$P$9:$P$22,MATCH(AC152,Annual!$AD$9:$AD$22,0)),INDEX(Annual!$V$9:$V$22,MATCH(AC152,Annual!$AD$9:$AD$22,0)))</f>
        <v>636.12359677116581</v>
      </c>
      <c r="V152" s="222">
        <f>IF(E152="No",0,_xlfn.IFNA(INDEX(Inputs!$E$50:$E$53,MATCH("Events in "&amp;F152,Inputs!$C$50:$C$53,0)),0)*Inputs!$E$46*Inputs!$E$54)</f>
        <v>0</v>
      </c>
      <c r="W152" s="166">
        <f>V152*(1-Inputs!$E$48)</f>
        <v>0</v>
      </c>
      <c r="X152" s="120">
        <f t="shared" si="43"/>
        <v>1160.6164836403577</v>
      </c>
      <c r="Y152" s="120">
        <f t="shared" si="44"/>
        <v>755.47966335688102</v>
      </c>
      <c r="Z152" s="20">
        <f t="shared" si="45"/>
        <v>148.77754820894319</v>
      </c>
      <c r="AA152" s="20">
        <f t="shared" si="50"/>
        <v>0</v>
      </c>
      <c r="AB152" s="21">
        <f t="shared" si="46"/>
        <v>256.5130141533503</v>
      </c>
      <c r="AC152" s="185" t="str">
        <f t="shared" si="47"/>
        <v>Income EligibleElectricHP prior to CVEONo</v>
      </c>
      <c r="AD152" t="s">
        <v>27</v>
      </c>
      <c r="AG152" s="841"/>
      <c r="AI152" s="58"/>
    </row>
    <row r="153" spans="2:35" x14ac:dyDescent="0.25">
      <c r="B153" s="36" t="s">
        <v>117</v>
      </c>
      <c r="C153" t="s">
        <v>138</v>
      </c>
      <c r="D153" t="s">
        <v>721</v>
      </c>
      <c r="E153" t="s">
        <v>234</v>
      </c>
      <c r="F153" s="18" t="s">
        <v>102</v>
      </c>
      <c r="G153" s="239">
        <f>IF($B153="Residential",0,Inputs!$E$103)</f>
        <v>0.42</v>
      </c>
      <c r="H153" s="162">
        <f>Inputs!$E$98/12</f>
        <v>10</v>
      </c>
      <c r="I153" s="184">
        <f>INDEX(Inputs!$D$114:$D$125,MATCH(F153,Inputs!$C$114:$C$125,0))</f>
        <v>3.5580000000000001E-2</v>
      </c>
      <c r="J153" s="161">
        <f>Inputs!$E$100</f>
        <v>0.29464000000000001</v>
      </c>
      <c r="K153" s="139">
        <f>Inputs!$E$101</f>
        <v>2.8649999999999998E-2</v>
      </c>
      <c r="L153" s="791">
        <f>EES!$I$23</f>
        <v>3.0100000000000023E-3</v>
      </c>
      <c r="M153" s="190">
        <f t="shared" si="51"/>
        <v>0.32630000000000003</v>
      </c>
      <c r="N153" s="192" t="str">
        <f t="shared" si="19"/>
        <v>R2RESASST</v>
      </c>
      <c r="O153" s="134">
        <f>SUMIFS(Sales!$E$7:$E$54,Sales!$B$7:$B$54,$F153,Sales!$C$7:$C$54,$N153)/SUMIFS(Sales!$E$7:$E$54,Sales!$C$7:$C$54,$N153)</f>
        <v>8.696932108954479E-2</v>
      </c>
      <c r="P153" s="120">
        <f>O153*(INDEX(Annual!$O$9:$O$22,MATCH($AC153,Annual!$AD$9:$AD$22,0)))</f>
        <v>495.72513021040533</v>
      </c>
      <c r="Q153" s="134">
        <f>INDEX(Inputs!$E$114:$E$125,MATCH(F153,Inputs!$C$114:$C$125,0))</f>
        <v>7.056160122921061E-2</v>
      </c>
      <c r="R153" s="840">
        <f>Q153*INDEX(Annual!$U$9:$U$22,MATCH(AC153,Annual!$AD$9:$AD$22,0))</f>
        <v>482.04157879735226</v>
      </c>
      <c r="S153" s="164">
        <f t="shared" si="49"/>
        <v>91.228296953714121</v>
      </c>
      <c r="T153" s="165">
        <f>INDEX(Inputs!$F$114:$F$125,MATCH(F153,Inputs!$C$114:$C$125,0))</f>
        <v>0.2087896043217988</v>
      </c>
      <c r="U153" s="264">
        <f>T153*IF(D153="HP prior to CVEO",INDEX(Annual!$P$9:$P$22,MATCH(AC153,Annual!$AD$9:$AD$22,0)),INDEX(Annual!$V$9:$V$22,MATCH(AC153,Annual!$AD$9:$AD$22,0)))</f>
        <v>812.91934171829053</v>
      </c>
      <c r="V153" s="222">
        <f>IF(E153="No",0,_xlfn.IFNA(INDEX(Inputs!$E$50:$E$53,MATCH("Events in "&amp;F153,Inputs!$C$50:$C$53,0)),0)*Inputs!$E$46*Inputs!$E$54)</f>
        <v>0</v>
      </c>
      <c r="W153" s="166">
        <f>V153*(1-Inputs!$E$48)</f>
        <v>0</v>
      </c>
      <c r="X153" s="120">
        <f t="shared" si="43"/>
        <v>1308.6444719286958</v>
      </c>
      <c r="Y153" s="120">
        <f t="shared" si="44"/>
        <v>826.60289313134354</v>
      </c>
      <c r="Z153" s="20">
        <f t="shared" si="45"/>
        <v>162.23790393667934</v>
      </c>
      <c r="AA153" s="20">
        <f t="shared" si="50"/>
        <v>0</v>
      </c>
      <c r="AB153" s="21">
        <f t="shared" si="46"/>
        <v>279.72052402875744</v>
      </c>
      <c r="AC153" s="185" t="str">
        <f t="shared" si="47"/>
        <v>Income EligibleElectricHP prior to CVEONo</v>
      </c>
      <c r="AD153" t="s">
        <v>27</v>
      </c>
      <c r="AI153" s="58"/>
    </row>
    <row r="154" spans="2:35" x14ac:dyDescent="0.25">
      <c r="B154" s="36" t="s">
        <v>117</v>
      </c>
      <c r="C154" t="s">
        <v>138</v>
      </c>
      <c r="D154" t="s">
        <v>721</v>
      </c>
      <c r="E154" t="s">
        <v>234</v>
      </c>
      <c r="F154" s="18" t="s">
        <v>103</v>
      </c>
      <c r="G154" s="239">
        <f>IF($B154="Residential",0,Inputs!$E$103)</f>
        <v>0.42</v>
      </c>
      <c r="H154" s="162">
        <f>Inputs!$E$98/12</f>
        <v>10</v>
      </c>
      <c r="I154" s="184">
        <f>INDEX(Inputs!$D$114:$D$125,MATCH(F154,Inputs!$C$114:$C$125,0))</f>
        <v>3.8429999999999999E-2</v>
      </c>
      <c r="J154" s="161">
        <f>Inputs!$E$100</f>
        <v>0.29464000000000001</v>
      </c>
      <c r="K154" s="139">
        <f>Inputs!$E$101</f>
        <v>2.8649999999999998E-2</v>
      </c>
      <c r="L154" s="791">
        <f>EES!$I$23</f>
        <v>3.0100000000000023E-3</v>
      </c>
      <c r="M154" s="190">
        <f t="shared" si="51"/>
        <v>0.32630000000000003</v>
      </c>
      <c r="N154" s="192" t="str">
        <f t="shared" si="19"/>
        <v>R2RESASST</v>
      </c>
      <c r="O154" s="134">
        <f>SUMIFS(Sales!$E$7:$E$54,Sales!$B$7:$B$54,$F154,Sales!$C$7:$C$54,$N154)/SUMIFS(Sales!$E$7:$E$54,Sales!$C$7:$C$54,$N154)</f>
        <v>8.0952699753921803E-2</v>
      </c>
      <c r="P154" s="120">
        <f>O154*(INDEX(Annual!$O$9:$O$22,MATCH($AC154,Annual!$AD$9:$AD$22,0)))</f>
        <v>461.43038859735429</v>
      </c>
      <c r="Q154" s="134">
        <f>INDEX(Inputs!$E$114:$E$125,MATCH(F154,Inputs!$C$114:$C$125,0))</f>
        <v>9.1691796536674613E-2</v>
      </c>
      <c r="R154" s="840">
        <f>Q154*INDEX(Annual!$U$9:$U$22,MATCH(AC154,Annual!$AD$9:$AD$22,0))</f>
        <v>626.39250804029257</v>
      </c>
      <c r="S154" s="164">
        <f t="shared" si="49"/>
        <v>118.54728771665756</v>
      </c>
      <c r="T154" s="165">
        <f>INDEX(Inputs!$F$114:$F$125,MATCH(F154,Inputs!$C$114:$C$125,0))</f>
        <v>0.14002044094028326</v>
      </c>
      <c r="U154" s="264">
        <f>T154*IF(D154="HP prior to CVEO",INDEX(Annual!$P$9:$P$22,MATCH(AC154,Annual!$AD$9:$AD$22,0)),INDEX(Annual!$V$9:$V$22,MATCH(AC154,Annual!$AD$9:$AD$22,0)))</f>
        <v>545.16758650897953</v>
      </c>
      <c r="V154" s="222">
        <f>IF(E154="No",0,_xlfn.IFNA(INDEX(Inputs!$E$50:$E$53,MATCH("Events in "&amp;F154,Inputs!$C$50:$C$53,0)),0)*Inputs!$E$46*Inputs!$E$54)</f>
        <v>0</v>
      </c>
      <c r="W154" s="166">
        <f>V154*(1-Inputs!$E$48)</f>
        <v>0</v>
      </c>
      <c r="X154" s="120">
        <f t="shared" si="43"/>
        <v>1006.5979751063338</v>
      </c>
      <c r="Y154" s="120">
        <f t="shared" si="44"/>
        <v>380.20546706604125</v>
      </c>
      <c r="Z154" s="20">
        <f t="shared" si="45"/>
        <v>77.755405464116592</v>
      </c>
      <c r="AA154" s="20">
        <f t="shared" si="50"/>
        <v>0</v>
      </c>
      <c r="AB154" s="21">
        <f t="shared" si="46"/>
        <v>134.06104390364928</v>
      </c>
      <c r="AC154" s="185" t="str">
        <f t="shared" si="47"/>
        <v>Income EligibleElectricHP prior to CVEONo</v>
      </c>
      <c r="AD154" t="s">
        <v>27</v>
      </c>
      <c r="AI154" s="58"/>
    </row>
    <row r="155" spans="2:35" x14ac:dyDescent="0.25">
      <c r="B155" s="36" t="s">
        <v>117</v>
      </c>
      <c r="C155" t="s">
        <v>138</v>
      </c>
      <c r="D155" t="s">
        <v>721</v>
      </c>
      <c r="E155" t="s">
        <v>234</v>
      </c>
      <c r="F155" s="18" t="s">
        <v>104</v>
      </c>
      <c r="G155" s="239">
        <f>IF($B155="Residential",0,Inputs!$E$103)</f>
        <v>0.42</v>
      </c>
      <c r="H155" s="162">
        <f>Inputs!$E$98/12</f>
        <v>10</v>
      </c>
      <c r="I155" s="184">
        <f>INDEX(Inputs!$D$114:$D$125,MATCH(F155,Inputs!$C$114:$C$125,0))</f>
        <v>3.9399999999999998E-2</v>
      </c>
      <c r="J155" s="161">
        <f>Inputs!$E$100</f>
        <v>0.29464000000000001</v>
      </c>
      <c r="K155" s="139">
        <f>Inputs!$E$101</f>
        <v>2.8649999999999998E-2</v>
      </c>
      <c r="L155" s="791">
        <f>EES!$I$23</f>
        <v>3.0100000000000023E-3</v>
      </c>
      <c r="M155" s="190">
        <f t="shared" si="51"/>
        <v>0.32630000000000003</v>
      </c>
      <c r="N155" s="192" t="str">
        <f t="shared" si="19"/>
        <v>R2RESASST</v>
      </c>
      <c r="O155" s="134">
        <f>SUMIFS(Sales!$E$7:$E$54,Sales!$B$7:$B$54,$F155,Sales!$C$7:$C$54,$N155)/SUMIFS(Sales!$E$7:$E$54,Sales!$C$7:$C$54,$N155)</f>
        <v>7.557098328361167E-2</v>
      </c>
      <c r="P155" s="120">
        <f>O155*(INDEX(Annual!$O$9:$O$22,MATCH($AC155,Annual!$AD$9:$AD$22,0)))</f>
        <v>430.75460471658653</v>
      </c>
      <c r="Q155" s="134">
        <f>INDEX(Inputs!$E$114:$E$125,MATCH(F155,Inputs!$C$114:$C$125,0))</f>
        <v>9.5902218316044743E-2</v>
      </c>
      <c r="R155" s="840">
        <f>Q155*INDEX(Annual!$U$9:$U$22,MATCH(AC155,Annual!$AD$9:$AD$22,0))</f>
        <v>655.15600442605967</v>
      </c>
      <c r="S155" s="164">
        <f t="shared" si="49"/>
        <v>123.99089446164953</v>
      </c>
      <c r="T155" s="165">
        <f>INDEX(Inputs!$F$114:$F$125,MATCH(F155,Inputs!$C$114:$C$125,0))</f>
        <v>8.1909767849321066E-2</v>
      </c>
      <c r="U155" s="264">
        <f>T155*IF(D155="HP prior to CVEO",INDEX(Annual!$P$9:$P$22,MATCH(AC155,Annual!$AD$9:$AD$22,0)),INDEX(Annual!$V$9:$V$22,MATCH(AC155,Annual!$AD$9:$AD$22,0)))</f>
        <v>318.9145109817909</v>
      </c>
      <c r="V155" s="222">
        <f>IF(E155="No",0,_xlfn.IFNA(INDEX(Inputs!$E$50:$E$53,MATCH("Events in "&amp;F155,Inputs!$C$50:$C$53,0)),0)*Inputs!$E$46*Inputs!$E$54)</f>
        <v>0</v>
      </c>
      <c r="W155" s="166">
        <f>V155*(1-Inputs!$E$48)</f>
        <v>0</v>
      </c>
      <c r="X155" s="120">
        <f t="shared" si="43"/>
        <v>749.66911569837748</v>
      </c>
      <c r="Y155" s="120">
        <f t="shared" si="44"/>
        <v>94.513111272317815</v>
      </c>
      <c r="Z155" s="20">
        <f t="shared" si="45"/>
        <v>23.686984360731241</v>
      </c>
      <c r="AA155" s="20">
        <f t="shared" si="50"/>
        <v>0</v>
      </c>
      <c r="AB155" s="21">
        <f t="shared" si="46"/>
        <v>40.839628208157308</v>
      </c>
      <c r="AC155" s="185" t="str">
        <f t="shared" si="47"/>
        <v>Income EligibleElectricHP prior to CVEONo</v>
      </c>
      <c r="AD155" t="s">
        <v>27</v>
      </c>
      <c r="AI155" s="58"/>
    </row>
    <row r="156" spans="2:35" x14ac:dyDescent="0.25">
      <c r="B156" s="36" t="s">
        <v>117</v>
      </c>
      <c r="C156" t="s">
        <v>138</v>
      </c>
      <c r="D156" t="s">
        <v>721</v>
      </c>
      <c r="E156" t="s">
        <v>234</v>
      </c>
      <c r="F156" s="18" t="s">
        <v>105</v>
      </c>
      <c r="G156" s="239">
        <f>IF($B156="Residential",0,Inputs!$E$103)</f>
        <v>0.42</v>
      </c>
      <c r="H156" s="162">
        <f>Inputs!$E$98/12</f>
        <v>10</v>
      </c>
      <c r="I156" s="184">
        <f>INDEX(Inputs!$D$114:$D$125,MATCH(F156,Inputs!$C$114:$C$125,0))</f>
        <v>4.827E-2</v>
      </c>
      <c r="J156" s="161">
        <f>Inputs!$E$100</f>
        <v>0.29464000000000001</v>
      </c>
      <c r="K156" s="139">
        <f>Inputs!$E$101</f>
        <v>2.8649999999999998E-2</v>
      </c>
      <c r="L156" s="791">
        <f>EES!$I$23</f>
        <v>3.0100000000000023E-3</v>
      </c>
      <c r="M156" s="190">
        <f t="shared" si="51"/>
        <v>0.32630000000000003</v>
      </c>
      <c r="N156" s="192" t="str">
        <f t="shared" si="19"/>
        <v>R2RESASST</v>
      </c>
      <c r="O156" s="134">
        <f>SUMIFS(Sales!$E$7:$E$54,Sales!$B$7:$B$54,$F156,Sales!$C$7:$C$54,$N156)/SUMIFS(Sales!$E$7:$E$54,Sales!$C$7:$C$54,$N156)</f>
        <v>6.7854031841022025E-2</v>
      </c>
      <c r="P156" s="120">
        <f>O156*(INDEX(Annual!$O$9:$O$22,MATCH($AC156,Annual!$AD$9:$AD$22,0)))</f>
        <v>386.76798149382552</v>
      </c>
      <c r="Q156" s="134">
        <f>INDEX(Inputs!$E$114:$E$125,MATCH(F156,Inputs!$C$114:$C$125,0))</f>
        <v>0.10405019139401983</v>
      </c>
      <c r="R156" s="840">
        <f>Q156*INDEX(Annual!$U$9:$U$22,MATCH(AC156,Annual!$AD$9:$AD$22,0))</f>
        <v>710.81888250824647</v>
      </c>
      <c r="S156" s="164">
        <f t="shared" si="49"/>
        <v>134.52531679021573</v>
      </c>
      <c r="T156" s="165">
        <f>INDEX(Inputs!$F$114:$F$125,MATCH(F156,Inputs!$C$114:$C$125,0))</f>
        <v>5.577456563001898E-2</v>
      </c>
      <c r="U156" s="264">
        <f>T156*IF(D156="HP prior to CVEO",INDEX(Annual!$P$9:$P$22,MATCH(AC156,Annual!$AD$9:$AD$22,0)),INDEX(Annual!$V$9:$V$22,MATCH(AC156,Annual!$AD$9:$AD$22,0)))</f>
        <v>217.1574745009699</v>
      </c>
      <c r="V156" s="222">
        <f>IF(E156="No",0,_xlfn.IFNA(INDEX(Inputs!$E$50:$E$53,MATCH("Events in "&amp;F156,Inputs!$C$50:$C$53,0)),0)*Inputs!$E$46*Inputs!$E$54)</f>
        <v>0</v>
      </c>
      <c r="W156" s="166">
        <f>V156*(1-Inputs!$E$48)</f>
        <v>0</v>
      </c>
      <c r="X156" s="120">
        <f t="shared" si="43"/>
        <v>603.92545599479536</v>
      </c>
      <c r="Y156" s="120">
        <f t="shared" si="44"/>
        <v>-106.89342651345112</v>
      </c>
      <c r="Z156" s="20">
        <f t="shared" si="45"/>
        <v>0.64025430219571522</v>
      </c>
      <c r="AA156" s="20">
        <f t="shared" si="50"/>
        <v>5.1597456978042855</v>
      </c>
      <c r="AB156" s="21">
        <f t="shared" si="46"/>
        <v>4.8402543021957145</v>
      </c>
      <c r="AC156" s="185" t="str">
        <f t="shared" si="47"/>
        <v>Income EligibleElectricHP prior to CVEONo</v>
      </c>
      <c r="AD156" t="s">
        <v>27</v>
      </c>
      <c r="AI156" s="58"/>
    </row>
    <row r="157" spans="2:35" x14ac:dyDescent="0.25">
      <c r="B157" s="36" t="s">
        <v>117</v>
      </c>
      <c r="C157" t="s">
        <v>138</v>
      </c>
      <c r="D157" t="s">
        <v>721</v>
      </c>
      <c r="E157" t="s">
        <v>234</v>
      </c>
      <c r="F157" s="18" t="s">
        <v>106</v>
      </c>
      <c r="G157" s="239">
        <f>IF($B157="Residential",0,Inputs!$E$103)</f>
        <v>0.42</v>
      </c>
      <c r="H157" s="162">
        <f>Inputs!$E$98/12</f>
        <v>10</v>
      </c>
      <c r="I157" s="184">
        <f>INDEX(Inputs!$D$114:$D$125,MATCH(F157,Inputs!$C$114:$C$125,0))</f>
        <v>5.8689999999999999E-2</v>
      </c>
      <c r="J157" s="161">
        <f>Inputs!$E$100</f>
        <v>0.29464000000000001</v>
      </c>
      <c r="K157" s="139">
        <f>Inputs!$E$101</f>
        <v>2.8649999999999998E-2</v>
      </c>
      <c r="L157" s="791">
        <f>EES!$I$23</f>
        <v>3.0100000000000023E-3</v>
      </c>
      <c r="M157" s="190">
        <f t="shared" si="51"/>
        <v>0.32630000000000003</v>
      </c>
      <c r="N157" s="192" t="str">
        <f t="shared" si="19"/>
        <v>R2RESASST</v>
      </c>
      <c r="O157" s="134">
        <f>SUMIFS(Sales!$E$7:$E$54,Sales!$B$7:$B$54,$F157,Sales!$C$7:$C$54,$N157)/SUMIFS(Sales!$E$7:$E$54,Sales!$C$7:$C$54,$N157)</f>
        <v>7.0581775183959652E-2</v>
      </c>
      <c r="P157" s="120">
        <f>O157*(INDEX(Annual!$O$9:$O$22,MATCH($AC157,Annual!$AD$9:$AD$22,0)))</f>
        <v>402.31611854857005</v>
      </c>
      <c r="Q157" s="134">
        <f>INDEX(Inputs!$E$114:$E$125,MATCH(F157,Inputs!$C$114:$C$125,0))</f>
        <v>9.7397110361162206E-2</v>
      </c>
      <c r="R157" s="840">
        <f>Q157*INDEX(Annual!$U$9:$U$22,MATCH(AC157,Annual!$AD$9:$AD$22,0))</f>
        <v>665.36835943227959</v>
      </c>
      <c r="S157" s="164">
        <f t="shared" si="49"/>
        <v>125.92362349599668</v>
      </c>
      <c r="T157" s="165">
        <f>INDEX(Inputs!$F$114:$F$125,MATCH(F157,Inputs!$C$114:$C$125,0))</f>
        <v>2.044094028325303E-2</v>
      </c>
      <c r="U157" s="264">
        <f>T157*IF(D157="HP prior to CVEO",INDEX(Annual!$P$9:$P$22,MATCH(AC157,Annual!$AD$9:$AD$22,0)),INDEX(Annual!$V$9:$V$22,MATCH(AC157,Annual!$AD$9:$AD$22,0)))</f>
        <v>79.586508979413054</v>
      </c>
      <c r="V157" s="222">
        <f>IF(E157="No",0,_xlfn.IFNA(INDEX(Inputs!$E$50:$E$53,MATCH("Events in "&amp;F157,Inputs!$C$50:$C$53,0)),0)*Inputs!$E$46*Inputs!$E$54)</f>
        <v>0</v>
      </c>
      <c r="W157" s="166">
        <f>V157*(1-Inputs!$E$48)</f>
        <v>0</v>
      </c>
      <c r="X157" s="120">
        <f t="shared" si="43"/>
        <v>481.9026275279831</v>
      </c>
      <c r="Y157" s="120">
        <f t="shared" si="44"/>
        <v>-183.46573190429649</v>
      </c>
      <c r="Z157" s="20">
        <f t="shared" si="45"/>
        <v>-4.9676038054631597</v>
      </c>
      <c r="AA157" s="20">
        <f t="shared" si="50"/>
        <v>10.76760380546316</v>
      </c>
      <c r="AB157" s="21">
        <f t="shared" si="46"/>
        <v>-0.76760380546316043</v>
      </c>
      <c r="AC157" s="185" t="str">
        <f t="shared" si="47"/>
        <v>Income EligibleElectricHP prior to CVEONo</v>
      </c>
      <c r="AD157" t="s">
        <v>27</v>
      </c>
      <c r="AI157" s="58"/>
    </row>
    <row r="158" spans="2:35" x14ac:dyDescent="0.25">
      <c r="B158" s="36" t="s">
        <v>117</v>
      </c>
      <c r="C158" t="s">
        <v>138</v>
      </c>
      <c r="D158" t="s">
        <v>721</v>
      </c>
      <c r="E158" t="s">
        <v>234</v>
      </c>
      <c r="F158" s="18" t="s">
        <v>107</v>
      </c>
      <c r="G158" s="239">
        <f>IF($B158="Residential",0,Inputs!$E$103)</f>
        <v>0.42</v>
      </c>
      <c r="H158" s="162">
        <f>Inputs!$E$98/12</f>
        <v>10</v>
      </c>
      <c r="I158" s="184">
        <f>INDEX(Inputs!$D$114:$D$125,MATCH(F158,Inputs!$C$114:$C$125,0))</f>
        <v>5.5409999999999994E-2</v>
      </c>
      <c r="J158" s="161">
        <f>Inputs!$E$100</f>
        <v>0.29464000000000001</v>
      </c>
      <c r="K158" s="139">
        <f>Inputs!$E$101</f>
        <v>2.8649999999999998E-2</v>
      </c>
      <c r="L158" s="791">
        <f>EES!$I$23</f>
        <v>3.0100000000000023E-3</v>
      </c>
      <c r="M158" s="190">
        <f t="shared" si="51"/>
        <v>0.32630000000000003</v>
      </c>
      <c r="N158" s="192" t="str">
        <f t="shared" si="19"/>
        <v>R2RESASST</v>
      </c>
      <c r="O158" s="134">
        <f>SUMIFS(Sales!$E$7:$E$54,Sales!$B$7:$B$54,$F158,Sales!$C$7:$C$54,$N158)/SUMIFS(Sales!$E$7:$E$54,Sales!$C$7:$C$54,$N158)</f>
        <v>0.10401220728411072</v>
      </c>
      <c r="P158" s="120">
        <f>O158*(INDEX(Annual!$O$9:$O$22,MATCH($AC158,Annual!$AD$9:$AD$22,0)))</f>
        <v>592.86958151943111</v>
      </c>
      <c r="Q158" s="134">
        <f>INDEX(Inputs!$E$114:$E$125,MATCH(F158,Inputs!$C$114:$C$125,0))</f>
        <v>0.10459025798272056</v>
      </c>
      <c r="R158" s="840">
        <f>Q158*INDEX(Annual!$U$9:$U$22,MATCH(AC158,Annual!$AD$9:$AD$22,0))</f>
        <v>714.5083474089555</v>
      </c>
      <c r="S158" s="164">
        <f t="shared" si="49"/>
        <v>135.22356278053451</v>
      </c>
      <c r="T158" s="165">
        <f>INDEX(Inputs!$F$114:$F$125,MATCH(F158,Inputs!$C$114:$C$125,0))</f>
        <v>3.9421813403416554E-3</v>
      </c>
      <c r="U158" s="264">
        <f>T158*IF(D158="HP prior to CVEO",INDEX(Annual!$P$9:$P$22,MATCH(AC158,Annual!$AD$9:$AD$22,0)),INDEX(Annual!$V$9:$V$22,MATCH(AC158,Annual!$AD$9:$AD$22,0)))</f>
        <v>15.348826731743946</v>
      </c>
      <c r="V158" s="222">
        <f>IF(E158="No",0,_xlfn.IFNA(INDEX(Inputs!$E$50:$E$53,MATCH("Events in "&amp;F158,Inputs!$C$50:$C$53,0)),0)*Inputs!$E$46*Inputs!$E$54)</f>
        <v>0</v>
      </c>
      <c r="W158" s="166">
        <f>V158*(1-Inputs!$E$48)</f>
        <v>0</v>
      </c>
      <c r="X158" s="120">
        <f t="shared" si="43"/>
        <v>608.21840825117511</v>
      </c>
      <c r="Y158" s="120">
        <f t="shared" si="44"/>
        <v>-106.2899391577804</v>
      </c>
      <c r="Z158" s="20">
        <f t="shared" si="45"/>
        <v>-8.952552873261066E-2</v>
      </c>
      <c r="AA158" s="20">
        <f t="shared" si="50"/>
        <v>5.8895255287326114</v>
      </c>
      <c r="AB158" s="21">
        <f t="shared" si="46"/>
        <v>4.1104744712673886</v>
      </c>
      <c r="AC158" s="185" t="str">
        <f t="shared" si="47"/>
        <v>Income EligibleElectricHP prior to CVEONo</v>
      </c>
      <c r="AD158" t="s">
        <v>27</v>
      </c>
      <c r="AI158" s="58"/>
    </row>
    <row r="159" spans="2:35" x14ac:dyDescent="0.25">
      <c r="B159" s="36" t="s">
        <v>117</v>
      </c>
      <c r="C159" t="s">
        <v>138</v>
      </c>
      <c r="D159" t="s">
        <v>721</v>
      </c>
      <c r="E159" t="s">
        <v>234</v>
      </c>
      <c r="F159" s="18" t="s">
        <v>108</v>
      </c>
      <c r="G159" s="239">
        <f>IF($B159="Residential",0,Inputs!$E$103)</f>
        <v>0.42</v>
      </c>
      <c r="H159" s="162">
        <f>Inputs!$E$98/12</f>
        <v>10</v>
      </c>
      <c r="I159" s="184">
        <f>INDEX(Inputs!$D$114:$D$125,MATCH(F159,Inputs!$C$114:$C$125,0))</f>
        <v>5.1479999999999998E-2</v>
      </c>
      <c r="J159" s="161">
        <f>Inputs!$E$100</f>
        <v>0.29464000000000001</v>
      </c>
      <c r="K159" s="139">
        <f>Inputs!$E$101</f>
        <v>2.8649999999999998E-2</v>
      </c>
      <c r="L159" s="791">
        <f>EES!$I$23</f>
        <v>3.0100000000000023E-3</v>
      </c>
      <c r="M159" s="190">
        <f t="shared" si="51"/>
        <v>0.32630000000000003</v>
      </c>
      <c r="N159" s="192" t="str">
        <f t="shared" si="19"/>
        <v>R2RESASST</v>
      </c>
      <c r="O159" s="134">
        <f>SUMIFS(Sales!$E$7:$E$54,Sales!$B$7:$B$54,$F159,Sales!$C$7:$C$54,$N159)/SUMIFS(Sales!$E$7:$E$54,Sales!$C$7:$C$54,$N159)</f>
        <v>0.11294527063791739</v>
      </c>
      <c r="P159" s="120">
        <f>O159*(INDEX(Annual!$O$9:$O$22,MATCH($AC159,Annual!$AD$9:$AD$22,0)))</f>
        <v>643.78804263612915</v>
      </c>
      <c r="Q159" s="134">
        <f>INDEX(Inputs!$E$114:$E$125,MATCH(F159,Inputs!$C$114:$C$125,0))</f>
        <v>9.9163535033348085E-2</v>
      </c>
      <c r="R159" s="840">
        <f>Q159*INDEX(Annual!$U$9:$U$22,MATCH(AC159,Annual!$AD$9:$AD$22,0))</f>
        <v>677.43568958031744</v>
      </c>
      <c r="S159" s="164">
        <f t="shared" si="49"/>
        <v>128.20741399583343</v>
      </c>
      <c r="T159" s="165">
        <f>INDEX(Inputs!$F$114:$F$125,MATCH(F159,Inputs!$C$114:$C$125,0))</f>
        <v>5.5482552197401083E-3</v>
      </c>
      <c r="U159" s="264">
        <f>T159*IF(D159="HP prior to CVEO",INDEX(Annual!$P$9:$P$22,MATCH(AC159,Annual!$AD$9:$AD$22,0)),INDEX(Annual!$V$9:$V$22,MATCH(AC159,Annual!$AD$9:$AD$22,0)))</f>
        <v>21.602052437269258</v>
      </c>
      <c r="V159" s="222">
        <f>IF(E159="No",0,_xlfn.IFNA(INDEX(Inputs!$E$50:$E$53,MATCH("Events in "&amp;F159,Inputs!$C$50:$C$53,0)),0)*Inputs!$E$46*Inputs!$E$54)</f>
        <v>0</v>
      </c>
      <c r="W159" s="166">
        <f>V159*(1-Inputs!$E$48)</f>
        <v>0</v>
      </c>
      <c r="X159" s="120">
        <f t="shared" si="43"/>
        <v>665.39009507339836</v>
      </c>
      <c r="Y159" s="120">
        <f t="shared" si="44"/>
        <v>-12.045594506919088</v>
      </c>
      <c r="Z159" s="20">
        <f t="shared" si="45"/>
        <v>5.1798927947838065</v>
      </c>
      <c r="AA159" s="20">
        <f t="shared" si="50"/>
        <v>0.62010720521619456</v>
      </c>
      <c r="AB159" s="21">
        <f t="shared" si="46"/>
        <v>9.3798927947838049</v>
      </c>
      <c r="AC159" s="185" t="str">
        <f t="shared" si="47"/>
        <v>Income EligibleElectricHP prior to CVEONo</v>
      </c>
      <c r="AD159" t="s">
        <v>27</v>
      </c>
      <c r="AI159" s="58"/>
    </row>
    <row r="160" spans="2:35" x14ac:dyDescent="0.25">
      <c r="B160" s="36" t="s">
        <v>117</v>
      </c>
      <c r="C160" t="s">
        <v>138</v>
      </c>
      <c r="D160" t="s">
        <v>721</v>
      </c>
      <c r="E160" t="s">
        <v>234</v>
      </c>
      <c r="F160" s="18" t="s">
        <v>109</v>
      </c>
      <c r="G160" s="239">
        <f>IF($B160="Residential",0,Inputs!$E$103)</f>
        <v>0.42</v>
      </c>
      <c r="H160" s="162">
        <f>Inputs!$E$98/12</f>
        <v>10</v>
      </c>
      <c r="I160" s="184">
        <f>INDEX(Inputs!$D$114:$D$125,MATCH(F160,Inputs!$C$114:$C$125,0))</f>
        <v>5.4880000000000005E-2</v>
      </c>
      <c r="J160" s="161">
        <f>Inputs!$E$100</f>
        <v>0.29464000000000001</v>
      </c>
      <c r="K160" s="139">
        <f>Inputs!$E$101</f>
        <v>2.8649999999999998E-2</v>
      </c>
      <c r="L160" s="791">
        <f>EES!$I$23</f>
        <v>3.0100000000000023E-3</v>
      </c>
      <c r="M160" s="190">
        <f t="shared" si="51"/>
        <v>0.32630000000000003</v>
      </c>
      <c r="N160" s="192" t="str">
        <f t="shared" si="19"/>
        <v>R2RESASST</v>
      </c>
      <c r="O160" s="134">
        <f>SUMIFS(Sales!$E$7:$E$54,Sales!$B$7:$B$54,$F160,Sales!$C$7:$C$54,$N160)/SUMIFS(Sales!$E$7:$E$54,Sales!$C$7:$C$54,$N160)</f>
        <v>8.9486160574449899E-2</v>
      </c>
      <c r="P160" s="120">
        <f>O160*(INDEX(Annual!$O$9:$O$22,MATCH($AC160,Annual!$AD$9:$AD$22,0)))</f>
        <v>510.07111527436444</v>
      </c>
      <c r="Q160" s="134">
        <f>INDEX(Inputs!$E$114:$E$125,MATCH(F160,Inputs!$C$114:$C$125,0))</f>
        <v>9.3858976615798895E-2</v>
      </c>
      <c r="R160" s="840">
        <f>Q160*INDEX(Annual!$U$9:$U$22,MATCH(AC160,Annual!$AD$9:$AD$22,0))</f>
        <v>641.19759875083014</v>
      </c>
      <c r="S160" s="164">
        <f t="shared" si="49"/>
        <v>121.34921035398965</v>
      </c>
      <c r="T160" s="165">
        <f>INDEX(Inputs!$F$114:$F$125,MATCH(F160,Inputs!$C$114:$C$125,0))</f>
        <v>1.9272886552781428E-2</v>
      </c>
      <c r="U160" s="264">
        <f>T160*IF(D160="HP prior to CVEO",INDEX(Annual!$P$9:$P$22,MATCH(AC160,Annual!$AD$9:$AD$22,0)),INDEX(Annual!$V$9:$V$22,MATCH(AC160,Annual!$AD$9:$AD$22,0)))</f>
        <v>75.038708466303746</v>
      </c>
      <c r="V160" s="222">
        <f>IF(E160="No",0,_xlfn.IFNA(INDEX(Inputs!$E$50:$E$53,MATCH("Events in "&amp;F160,Inputs!$C$50:$C$53,0)),0)*Inputs!$E$46*Inputs!$E$54)</f>
        <v>0</v>
      </c>
      <c r="W160" s="166">
        <f>V160*(1-Inputs!$E$48)</f>
        <v>0</v>
      </c>
      <c r="X160" s="120">
        <f t="shared" si="43"/>
        <v>585.10982374066816</v>
      </c>
      <c r="Y160" s="120">
        <f t="shared" si="44"/>
        <v>-56.087775010161977</v>
      </c>
      <c r="Z160" s="20">
        <f t="shared" si="45"/>
        <v>2.7219029074423111</v>
      </c>
      <c r="AA160" s="20">
        <f t="shared" si="50"/>
        <v>3.0780970925576896</v>
      </c>
      <c r="AB160" s="21">
        <f t="shared" si="46"/>
        <v>6.9219029074423108</v>
      </c>
      <c r="AC160" s="185" t="str">
        <f t="shared" si="47"/>
        <v>Income EligibleElectricHP prior to CVEONo</v>
      </c>
      <c r="AD160" t="s">
        <v>27</v>
      </c>
      <c r="AI160" s="58"/>
    </row>
    <row r="161" spans="2:35" x14ac:dyDescent="0.25">
      <c r="B161" s="36" t="s">
        <v>117</v>
      </c>
      <c r="C161" t="s">
        <v>138</v>
      </c>
      <c r="D161" t="s">
        <v>721</v>
      </c>
      <c r="E161" t="s">
        <v>234</v>
      </c>
      <c r="F161" s="18" t="s">
        <v>110</v>
      </c>
      <c r="G161" s="239">
        <f>IF($B161="Residential",0,Inputs!$E$103)</f>
        <v>0.42</v>
      </c>
      <c r="H161" s="162">
        <f>Inputs!$E$98/12</f>
        <v>10</v>
      </c>
      <c r="I161" s="184">
        <f>INDEX(Inputs!$D$114:$D$125,MATCH(F161,Inputs!$C$114:$C$125,0))</f>
        <v>5.9859999999999997E-2</v>
      </c>
      <c r="J161" s="161">
        <f>Inputs!$E$100</f>
        <v>0.29464000000000001</v>
      </c>
      <c r="K161" s="139">
        <f>Inputs!$E$101</f>
        <v>2.8649999999999998E-2</v>
      </c>
      <c r="L161" s="791">
        <f>EES!$I$23</f>
        <v>3.0100000000000023E-3</v>
      </c>
      <c r="M161" s="190">
        <f t="shared" si="51"/>
        <v>0.32630000000000003</v>
      </c>
      <c r="N161" s="192" t="str">
        <f t="shared" si="19"/>
        <v>R2RESASST</v>
      </c>
      <c r="O161" s="134">
        <f>SUMIFS(Sales!$E$7:$E$54,Sales!$B$7:$B$54,$F161,Sales!$C$7:$C$54,$N161)/SUMIFS(Sales!$E$7:$E$54,Sales!$C$7:$C$54,$N161)</f>
        <v>6.8945458928186681E-2</v>
      </c>
      <c r="P161" s="120">
        <f>O161*(INDEX(Annual!$O$9:$O$22,MATCH($AC161,Annual!$AD$9:$AD$22,0)))</f>
        <v>392.9891158906641</v>
      </c>
      <c r="Q161" s="134">
        <f>INDEX(Inputs!$E$114:$E$125,MATCH(F161,Inputs!$C$114:$C$125,0))</f>
        <v>7.6465910496739911E-2</v>
      </c>
      <c r="R161" s="840">
        <f>Q161*INDEX(Annual!$U$9:$U$22,MATCH(AC161,Annual!$AD$9:$AD$22,0))</f>
        <v>522.37686755847869</v>
      </c>
      <c r="S161" s="164">
        <f t="shared" si="49"/>
        <v>98.861911692912358</v>
      </c>
      <c r="T161" s="165">
        <f>INDEX(Inputs!$F$114:$F$125,MATCH(F161,Inputs!$C$114:$C$125,0))</f>
        <v>4.0589867133888159E-2</v>
      </c>
      <c r="U161" s="264">
        <f>T161*IF(D161="HP prior to CVEO",INDEX(Annual!$P$9:$P$22,MATCH(AC161,Annual!$AD$9:$AD$22,0)),INDEX(Annual!$V$9:$V$22,MATCH(AC161,Annual!$AD$9:$AD$22,0)))</f>
        <v>158.03606783054877</v>
      </c>
      <c r="V161" s="222">
        <f>IF(E161="No",0,_xlfn.IFNA(INDEX(Inputs!$E$50:$E$53,MATCH("Events in "&amp;F161,Inputs!$C$50:$C$53,0)),0)*Inputs!$E$46*Inputs!$E$54)</f>
        <v>0</v>
      </c>
      <c r="W161" s="166">
        <f>V161*(1-Inputs!$E$48)</f>
        <v>0</v>
      </c>
      <c r="X161" s="120">
        <f t="shared" si="43"/>
        <v>551.0251837212129</v>
      </c>
      <c r="Y161" s="120">
        <f t="shared" si="44"/>
        <v>28.648316162734204</v>
      </c>
      <c r="Z161" s="20">
        <f t="shared" si="45"/>
        <v>11.221808427062101</v>
      </c>
      <c r="AA161" s="20">
        <f t="shared" si="50"/>
        <v>0</v>
      </c>
      <c r="AB161" s="21">
        <f t="shared" si="46"/>
        <v>19.347945563900172</v>
      </c>
      <c r="AC161" s="185" t="str">
        <f t="shared" si="47"/>
        <v>Income EligibleElectricHP prior to CVEONo</v>
      </c>
      <c r="AD161" t="s">
        <v>27</v>
      </c>
      <c r="AI161" s="58"/>
    </row>
    <row r="162" spans="2:35" x14ac:dyDescent="0.25">
      <c r="B162" s="36" t="s">
        <v>117</v>
      </c>
      <c r="C162" t="s">
        <v>138</v>
      </c>
      <c r="D162" t="s">
        <v>721</v>
      </c>
      <c r="E162" t="s">
        <v>234</v>
      </c>
      <c r="F162" s="18" t="s">
        <v>111</v>
      </c>
      <c r="G162" s="239">
        <f>IF($B162="Residential",0,Inputs!$E$103)</f>
        <v>0.42</v>
      </c>
      <c r="H162" s="162">
        <f>Inputs!$E$98/12</f>
        <v>10</v>
      </c>
      <c r="I162" s="184">
        <f>INDEX(Inputs!$D$114:$D$125,MATCH(F162,Inputs!$C$114:$C$125,0))</f>
        <v>0.10368000000000001</v>
      </c>
      <c r="J162" s="161">
        <f>Inputs!$E$100</f>
        <v>0.29464000000000001</v>
      </c>
      <c r="K162" s="139">
        <f>Inputs!$E$101</f>
        <v>2.8649999999999998E-2</v>
      </c>
      <c r="L162" s="791">
        <f>EES!$I$23</f>
        <v>3.0100000000000023E-3</v>
      </c>
      <c r="M162" s="190">
        <f t="shared" si="51"/>
        <v>0.32630000000000003</v>
      </c>
      <c r="N162" s="192" t="str">
        <f t="shared" si="19"/>
        <v>R2RESASST</v>
      </c>
      <c r="O162" s="134">
        <f>SUMIFS(Sales!$E$7:$E$54,Sales!$B$7:$B$54,$F162,Sales!$C$7:$C$54,$N162)/SUMIFS(Sales!$E$7:$E$54,Sales!$C$7:$C$54,$N162)</f>
        <v>6.1773805060155777E-2</v>
      </c>
      <c r="P162" s="120">
        <f>O162*(INDEX(Annual!$O$9:$O$22,MATCH($AC162,Annual!$AD$9:$AD$22,0)))</f>
        <v>352.11068884288795</v>
      </c>
      <c r="Q162" s="134">
        <f>INDEX(Inputs!$E$114:$E$125,MATCH(F162,Inputs!$C$114:$C$125,0))</f>
        <v>5.8509626541612472E-2</v>
      </c>
      <c r="R162" s="840">
        <f>Q162*INDEX(Annual!$U$9:$U$22,MATCH(AC162,Annual!$AD$9:$AD$22,0))</f>
        <v>399.70851371902563</v>
      </c>
      <c r="S162" s="164">
        <f t="shared" si="49"/>
        <v>75.646435055380508</v>
      </c>
      <c r="T162" s="165">
        <f>INDEX(Inputs!$F$114:$F$125,MATCH(F162,Inputs!$C$114:$C$125,0))</f>
        <v>0.10643889618922471</v>
      </c>
      <c r="U162" s="264">
        <f>T162*IF(D162="HP prior to CVEO",INDEX(Annual!$P$9:$P$22,MATCH(AC162,Annual!$AD$9:$AD$22,0)),INDEX(Annual!$V$9:$V$22,MATCH(AC162,Annual!$AD$9:$AD$22,0)))</f>
        <v>414.41832175708657</v>
      </c>
      <c r="V162" s="222">
        <f>IF(E162="No",0,_xlfn.IFNA(INDEX(Inputs!$E$50:$E$53,MATCH("Events in "&amp;F162,Inputs!$C$50:$C$53,0)),0)*Inputs!$E$46*Inputs!$E$54)</f>
        <v>0</v>
      </c>
      <c r="W162" s="166">
        <f>V162*(1-Inputs!$E$48)</f>
        <v>0</v>
      </c>
      <c r="X162" s="120">
        <f t="shared" si="43"/>
        <v>766.52901059997453</v>
      </c>
      <c r="Y162" s="120">
        <f t="shared" si="44"/>
        <v>366.82049688094889</v>
      </c>
      <c r="Z162" s="20">
        <f t="shared" si="45"/>
        <v>75.222246316707114</v>
      </c>
      <c r="AA162" s="20">
        <f t="shared" si="50"/>
        <v>0</v>
      </c>
      <c r="AB162" s="21">
        <f t="shared" si="46"/>
        <v>129.69352813225362</v>
      </c>
      <c r="AC162" s="185" t="str">
        <f t="shared" si="47"/>
        <v>Income EligibleElectricHP prior to CVEONo</v>
      </c>
      <c r="AD162" t="s">
        <v>27</v>
      </c>
      <c r="AI162" s="58"/>
    </row>
    <row r="163" spans="2:35" x14ac:dyDescent="0.25">
      <c r="B163" s="36" t="s">
        <v>117</v>
      </c>
      <c r="C163" t="s">
        <v>138</v>
      </c>
      <c r="D163" t="s">
        <v>721</v>
      </c>
      <c r="E163" t="s">
        <v>234</v>
      </c>
      <c r="F163" s="18" t="s">
        <v>112</v>
      </c>
      <c r="G163" s="239">
        <f>IF($B163="Residential",0,Inputs!$E$103)</f>
        <v>0.42</v>
      </c>
      <c r="H163" s="162">
        <f>Inputs!$E$98/12</f>
        <v>10</v>
      </c>
      <c r="I163" s="184">
        <f>INDEX(Inputs!$D$114:$D$125,MATCH(F163,Inputs!$C$114:$C$125,0))</f>
        <v>7.7920000000000003E-2</v>
      </c>
      <c r="J163" s="161">
        <f>Inputs!$E$100</f>
        <v>0.29464000000000001</v>
      </c>
      <c r="K163" s="139">
        <f>Inputs!$E$101</f>
        <v>2.8649999999999998E-2</v>
      </c>
      <c r="L163" s="791">
        <f>EES!$I$23</f>
        <v>3.0100000000000023E-3</v>
      </c>
      <c r="M163" s="190">
        <f t="shared" si="51"/>
        <v>0.32630000000000003</v>
      </c>
      <c r="N163" s="192" t="str">
        <f t="shared" si="19"/>
        <v>R2RESASST</v>
      </c>
      <c r="O163" s="134">
        <f>SUMIFS(Sales!$E$7:$E$54,Sales!$B$7:$B$54,$F163,Sales!$C$7:$C$54,$N163)/SUMIFS(Sales!$E$7:$E$54,Sales!$C$7:$C$54,$N163)</f>
        <v>8.8891990421156086E-2</v>
      </c>
      <c r="P163" s="120">
        <f>O163*(INDEX(Annual!$O$9:$O$22,MATCH($AC163,Annual!$AD$9:$AD$22,0)))</f>
        <v>506.68434540058968</v>
      </c>
      <c r="Q163" s="134">
        <f>INDEX(Inputs!$E$114:$E$125,MATCH(F163,Inputs!$C$114:$C$125,0))</f>
        <v>4.8504549439315578E-2</v>
      </c>
      <c r="R163" s="840">
        <f>Q163*INDEX(Annual!$U$9:$U$22,MATCH(AC163,Annual!$AD$9:$AD$22,0))</f>
        <v>331.35882949468436</v>
      </c>
      <c r="S163" s="164">
        <f t="shared" si="49"/>
        <v>62.710983917187008</v>
      </c>
      <c r="T163" s="165">
        <f>INDEX(Inputs!$F$114:$F$125,MATCH(F163,Inputs!$C$114:$C$125,0))</f>
        <v>0.15389107898963353</v>
      </c>
      <c r="U163" s="264">
        <f>T163*IF(D163="HP prior to CVEO",INDEX(Annual!$P$9:$P$22,MATCH(AC163,Annual!$AD$9:$AD$22,0)),INDEX(Annual!$V$9:$V$22,MATCH(AC163,Annual!$AD$9:$AD$22,0)))</f>
        <v>599.1727176021526</v>
      </c>
      <c r="V163" s="222">
        <f>IF(E163="No",0,_xlfn.IFNA(INDEX(Inputs!$E$50:$E$53,MATCH("Events in "&amp;F163,Inputs!$C$50:$C$53,0)),0)*Inputs!$E$46*Inputs!$E$54)</f>
        <v>0</v>
      </c>
      <c r="W163" s="166">
        <f>V163*(1-Inputs!$E$48)</f>
        <v>0</v>
      </c>
      <c r="X163" s="120">
        <f t="shared" si="43"/>
        <v>1105.8570630027423</v>
      </c>
      <c r="Y163" s="120">
        <f t="shared" si="44"/>
        <v>774.49823350805787</v>
      </c>
      <c r="Z163" s="20">
        <f t="shared" si="45"/>
        <v>152.37688868433403</v>
      </c>
      <c r="AA163" s="20">
        <f t="shared" si="50"/>
        <v>0</v>
      </c>
      <c r="AB163" s="21">
        <f t="shared" si="46"/>
        <v>262.71877359367932</v>
      </c>
      <c r="AC163" s="185" t="str">
        <f t="shared" si="47"/>
        <v>Income EligibleElectricHP prior to CVEONo</v>
      </c>
      <c r="AD163" t="s">
        <v>27</v>
      </c>
      <c r="AG163" s="104"/>
      <c r="AI163" s="58"/>
    </row>
    <row r="164" spans="2:35" x14ac:dyDescent="0.25">
      <c r="B164" s="36" t="s">
        <v>117</v>
      </c>
      <c r="C164" t="s">
        <v>138</v>
      </c>
      <c r="D164" t="s">
        <v>721</v>
      </c>
      <c r="E164" t="s">
        <v>233</v>
      </c>
      <c r="F164" s="18" t="s">
        <v>101</v>
      </c>
      <c r="G164" s="239">
        <f>IF($B164="Residential",0,Inputs!$E$103)</f>
        <v>0.42</v>
      </c>
      <c r="H164" s="162">
        <f>Inputs!$E$98/12</f>
        <v>10</v>
      </c>
      <c r="I164" s="184">
        <f>INDEX(Inputs!$D$114:$D$125,MATCH(F164,Inputs!$C$114:$C$125,0))</f>
        <v>4.6359999999999998E-2</v>
      </c>
      <c r="J164" s="161">
        <f>Inputs!$E$100</f>
        <v>0.29464000000000001</v>
      </c>
      <c r="K164" s="139">
        <f>Inputs!$E$101</f>
        <v>2.8649999999999998E-2</v>
      </c>
      <c r="L164" s="791">
        <f>EES!$I$23</f>
        <v>3.0100000000000023E-3</v>
      </c>
      <c r="M164" s="190">
        <f t="shared" si="18"/>
        <v>0.32630000000000003</v>
      </c>
      <c r="N164" s="192" t="str">
        <f t="shared" si="19"/>
        <v>R2RESASST</v>
      </c>
      <c r="O164" s="134">
        <f>SUMIFS(Sales!$E$7:$E$54,Sales!$B$7:$B$54,$F164,Sales!$C$7:$C$54,$N164)/SUMIFS(Sales!$E$7:$E$54,Sales!$C$7:$C$54,$N164)</f>
        <v>9.2016295941963519E-2</v>
      </c>
      <c r="P164" s="120">
        <f>O164*(INDEX(Annual!$O$9:$O$22,MATCH($AC164,Annual!$AD$9:$AD$22,0)))</f>
        <v>524.49288686919203</v>
      </c>
      <c r="Q164" s="134">
        <f>INDEX(Inputs!$E$114:$E$125,MATCH(F164,Inputs!$C$114:$C$125,0))</f>
        <v>5.9304226053352373E-2</v>
      </c>
      <c r="R164" s="840">
        <f>Q164*INDEX(Annual!$U$9:$U$22,MATCH(AC164,Annual!$AD$9:$AD$22,0))</f>
        <v>735.8468368699962</v>
      </c>
      <c r="S164" s="164">
        <f t="shared" ref="S164:S175" si="52">R164*M164*(1-$G164)</f>
        <v>139.26195726499429</v>
      </c>
      <c r="T164" s="165">
        <f>INDEX(Inputs!$F$114:$F$125,MATCH(F164,Inputs!$C$114:$C$125,0))</f>
        <v>0.16338151554971528</v>
      </c>
      <c r="U164" s="264">
        <f>T164*IF(D164="HP prior to CVEO",INDEX(Annual!$P$9:$P$22,MATCH(AC164,Annual!$AD$9:$AD$22,0)),INDEX(Annual!$V$9:$V$22,MATCH(AC164,Annual!$AD$9:$AD$22,0)))</f>
        <v>636.12359677116581</v>
      </c>
      <c r="V164" s="222">
        <f>IF(E164="No",0,_xlfn.IFNA(INDEX(Inputs!$E$50:$E$53,MATCH("Events in "&amp;F164,Inputs!$C$50:$C$53,0)),0)*Inputs!$E$46*Inputs!$E$54)</f>
        <v>0</v>
      </c>
      <c r="W164" s="166">
        <f>V164*(1-Inputs!$E$48)</f>
        <v>0</v>
      </c>
      <c r="X164" s="120">
        <f t="shared" si="43"/>
        <v>1160.6164836403577</v>
      </c>
      <c r="Y164" s="120">
        <f t="shared" si="44"/>
        <v>424.76964677036153</v>
      </c>
      <c r="Z164" s="20">
        <f t="shared" si="45"/>
        <v>86.189354729878019</v>
      </c>
      <c r="AA164" s="20">
        <f t="shared" si="20"/>
        <v>0</v>
      </c>
      <c r="AB164" s="21">
        <f t="shared" si="46"/>
        <v>148.60233574116899</v>
      </c>
      <c r="AC164" s="185" t="str">
        <f t="shared" si="47"/>
        <v>Income EligibleElectricHP prior to CVEOYes</v>
      </c>
      <c r="AD164" t="s">
        <v>27</v>
      </c>
      <c r="AG164" s="841"/>
      <c r="AI164" s="58"/>
    </row>
    <row r="165" spans="2:35" x14ac:dyDescent="0.25">
      <c r="B165" s="36" t="s">
        <v>117</v>
      </c>
      <c r="C165" t="s">
        <v>138</v>
      </c>
      <c r="D165" t="s">
        <v>721</v>
      </c>
      <c r="E165" t="s">
        <v>233</v>
      </c>
      <c r="F165" s="18" t="s">
        <v>102</v>
      </c>
      <c r="G165" s="239">
        <f>IF($B165="Residential",0,Inputs!$E$103)</f>
        <v>0.42</v>
      </c>
      <c r="H165" s="162">
        <f>Inputs!$E$98/12</f>
        <v>10</v>
      </c>
      <c r="I165" s="184">
        <f>INDEX(Inputs!$D$114:$D$125,MATCH(F165,Inputs!$C$114:$C$125,0))</f>
        <v>3.5580000000000001E-2</v>
      </c>
      <c r="J165" s="161">
        <f>Inputs!$E$100</f>
        <v>0.29464000000000001</v>
      </c>
      <c r="K165" s="139">
        <f>Inputs!$E$101</f>
        <v>2.8649999999999998E-2</v>
      </c>
      <c r="L165" s="791">
        <f>EES!$I$23</f>
        <v>3.0100000000000023E-3</v>
      </c>
      <c r="M165" s="190">
        <f t="shared" si="18"/>
        <v>0.32630000000000003</v>
      </c>
      <c r="N165" s="192" t="str">
        <f t="shared" si="19"/>
        <v>R2RESASST</v>
      </c>
      <c r="O165" s="134">
        <f>SUMIFS(Sales!$E$7:$E$54,Sales!$B$7:$B$54,$F165,Sales!$C$7:$C$54,$N165)/SUMIFS(Sales!$E$7:$E$54,Sales!$C$7:$C$54,$N165)</f>
        <v>8.696932108954479E-2</v>
      </c>
      <c r="P165" s="120">
        <f>O165*(INDEX(Annual!$O$9:$O$22,MATCH($AC165,Annual!$AD$9:$AD$22,0)))</f>
        <v>495.72513021040533</v>
      </c>
      <c r="Q165" s="134">
        <f>INDEX(Inputs!$E$114:$E$125,MATCH(F165,Inputs!$C$114:$C$125,0))</f>
        <v>7.056160122921061E-2</v>
      </c>
      <c r="R165" s="840">
        <f>Q165*INDEX(Annual!$U$9:$U$22,MATCH(AC165,Annual!$AD$9:$AD$22,0))</f>
        <v>875.5283480520452</v>
      </c>
      <c r="S165" s="164">
        <f t="shared" si="52"/>
        <v>165.69724198224182</v>
      </c>
      <c r="T165" s="165">
        <f>INDEX(Inputs!$F$114:$F$125,MATCH(F165,Inputs!$C$114:$C$125,0))</f>
        <v>0.2087896043217988</v>
      </c>
      <c r="U165" s="264">
        <f>T165*IF(D165="HP prior to CVEO",INDEX(Annual!$P$9:$P$22,MATCH(AC165,Annual!$AD$9:$AD$22,0)),INDEX(Annual!$V$9:$V$22,MATCH(AC165,Annual!$AD$9:$AD$22,0)))</f>
        <v>812.91934171829053</v>
      </c>
      <c r="V165" s="222">
        <f>IF(E165="No",0,_xlfn.IFNA(INDEX(Inputs!$E$50:$E$53,MATCH("Events in "&amp;F165,Inputs!$C$50:$C$53,0)),0)*Inputs!$E$46*Inputs!$E$54)</f>
        <v>0</v>
      </c>
      <c r="W165" s="166">
        <f>V165*(1-Inputs!$E$48)</f>
        <v>0</v>
      </c>
      <c r="X165" s="120">
        <f t="shared" si="43"/>
        <v>1308.6444719286958</v>
      </c>
      <c r="Y165" s="120">
        <f t="shared" si="44"/>
        <v>433.11612387665059</v>
      </c>
      <c r="Z165" s="20">
        <f t="shared" si="45"/>
        <v>87.768958908151646</v>
      </c>
      <c r="AA165" s="20">
        <f t="shared" si="20"/>
        <v>0</v>
      </c>
      <c r="AB165" s="21">
        <f t="shared" si="46"/>
        <v>151.32579122095109</v>
      </c>
      <c r="AC165" s="185" t="str">
        <f t="shared" si="47"/>
        <v>Income EligibleElectricHP prior to CVEOYes</v>
      </c>
      <c r="AD165" t="s">
        <v>27</v>
      </c>
      <c r="AI165" s="58"/>
    </row>
    <row r="166" spans="2:35" x14ac:dyDescent="0.25">
      <c r="B166" s="36" t="s">
        <v>117</v>
      </c>
      <c r="C166" t="s">
        <v>138</v>
      </c>
      <c r="D166" t="s">
        <v>721</v>
      </c>
      <c r="E166" t="s">
        <v>233</v>
      </c>
      <c r="F166" s="18" t="s">
        <v>103</v>
      </c>
      <c r="G166" s="239">
        <f>IF($B166="Residential",0,Inputs!$E$103)</f>
        <v>0.42</v>
      </c>
      <c r="H166" s="162">
        <f>Inputs!$E$98/12</f>
        <v>10</v>
      </c>
      <c r="I166" s="184">
        <f>INDEX(Inputs!$D$114:$D$125,MATCH(F166,Inputs!$C$114:$C$125,0))</f>
        <v>3.8429999999999999E-2</v>
      </c>
      <c r="J166" s="161">
        <f>Inputs!$E$100</f>
        <v>0.29464000000000001</v>
      </c>
      <c r="K166" s="139">
        <f>Inputs!$E$101</f>
        <v>2.8649999999999998E-2</v>
      </c>
      <c r="L166" s="791">
        <f>EES!$I$23</f>
        <v>3.0100000000000023E-3</v>
      </c>
      <c r="M166" s="190">
        <f t="shared" si="18"/>
        <v>0.32630000000000003</v>
      </c>
      <c r="N166" s="192" t="str">
        <f t="shared" si="19"/>
        <v>R2RESASST</v>
      </c>
      <c r="O166" s="134">
        <f>SUMIFS(Sales!$E$7:$E$54,Sales!$B$7:$B$54,$F166,Sales!$C$7:$C$54,$N166)/SUMIFS(Sales!$E$7:$E$54,Sales!$C$7:$C$54,$N166)</f>
        <v>8.0952699753921803E-2</v>
      </c>
      <c r="P166" s="120">
        <f>O166*(INDEX(Annual!$O$9:$O$22,MATCH($AC166,Annual!$AD$9:$AD$22,0)))</f>
        <v>461.43038859735429</v>
      </c>
      <c r="Q166" s="134">
        <f>INDEX(Inputs!$E$114:$E$125,MATCH(F166,Inputs!$C$114:$C$125,0))</f>
        <v>9.1691796536674613E-2</v>
      </c>
      <c r="R166" s="840">
        <f>Q166*INDEX(Annual!$U$9:$U$22,MATCH(AC166,Annual!$AD$9:$AD$22,0))</f>
        <v>1137.7118114270586</v>
      </c>
      <c r="S166" s="164">
        <f t="shared" si="52"/>
        <v>215.31651115981657</v>
      </c>
      <c r="T166" s="165">
        <f>INDEX(Inputs!$F$114:$F$125,MATCH(F166,Inputs!$C$114:$C$125,0))</f>
        <v>0.14002044094028326</v>
      </c>
      <c r="U166" s="264">
        <f>T166*IF(D166="HP prior to CVEO",INDEX(Annual!$P$9:$P$22,MATCH(AC166,Annual!$AD$9:$AD$22,0)),INDEX(Annual!$V$9:$V$22,MATCH(AC166,Annual!$AD$9:$AD$22,0)))</f>
        <v>545.16758650897953</v>
      </c>
      <c r="V166" s="222">
        <f>IF(E166="No",0,_xlfn.IFNA(INDEX(Inputs!$E$50:$E$53,MATCH("Events in "&amp;F166,Inputs!$C$50:$C$53,0)),0)*Inputs!$E$46*Inputs!$E$54)</f>
        <v>0</v>
      </c>
      <c r="W166" s="166">
        <f>V166*(1-Inputs!$E$48)</f>
        <v>0</v>
      </c>
      <c r="X166" s="120">
        <f t="shared" si="43"/>
        <v>1006.5979751063338</v>
      </c>
      <c r="Y166" s="120">
        <f t="shared" si="44"/>
        <v>-131.11383632072477</v>
      </c>
      <c r="Z166" s="20">
        <f t="shared" si="45"/>
        <v>0.76129527019454812</v>
      </c>
      <c r="AA166" s="20">
        <f t="shared" si="20"/>
        <v>5.0387047298054526</v>
      </c>
      <c r="AB166" s="21">
        <f t="shared" si="46"/>
        <v>4.9612952701945474</v>
      </c>
      <c r="AC166" s="185" t="str">
        <f t="shared" si="47"/>
        <v>Income EligibleElectricHP prior to CVEOYes</v>
      </c>
      <c r="AD166" t="s">
        <v>27</v>
      </c>
      <c r="AI166" s="58"/>
    </row>
    <row r="167" spans="2:35" x14ac:dyDescent="0.25">
      <c r="B167" s="36" t="s">
        <v>117</v>
      </c>
      <c r="C167" t="s">
        <v>138</v>
      </c>
      <c r="D167" t="s">
        <v>721</v>
      </c>
      <c r="E167" t="s">
        <v>233</v>
      </c>
      <c r="F167" s="18" t="s">
        <v>104</v>
      </c>
      <c r="G167" s="239">
        <f>IF($B167="Residential",0,Inputs!$E$103)</f>
        <v>0.42</v>
      </c>
      <c r="H167" s="162">
        <f>Inputs!$E$98/12</f>
        <v>10</v>
      </c>
      <c r="I167" s="184">
        <f>INDEX(Inputs!$D$114:$D$125,MATCH(F167,Inputs!$C$114:$C$125,0))</f>
        <v>3.9399999999999998E-2</v>
      </c>
      <c r="J167" s="161">
        <f>Inputs!$E$100</f>
        <v>0.29464000000000001</v>
      </c>
      <c r="K167" s="139">
        <f>Inputs!$E$101</f>
        <v>2.8649999999999998E-2</v>
      </c>
      <c r="L167" s="791">
        <f>EES!$I$23</f>
        <v>3.0100000000000023E-3</v>
      </c>
      <c r="M167" s="190">
        <f t="shared" si="18"/>
        <v>0.32630000000000003</v>
      </c>
      <c r="N167" s="192" t="str">
        <f t="shared" si="19"/>
        <v>R2RESASST</v>
      </c>
      <c r="O167" s="134">
        <f>SUMIFS(Sales!$E$7:$E$54,Sales!$B$7:$B$54,$F167,Sales!$C$7:$C$54,$N167)/SUMIFS(Sales!$E$7:$E$54,Sales!$C$7:$C$54,$N167)</f>
        <v>7.557098328361167E-2</v>
      </c>
      <c r="P167" s="120">
        <f>O167*(INDEX(Annual!$O$9:$O$22,MATCH($AC167,Annual!$AD$9:$AD$22,0)))</f>
        <v>430.75460471658653</v>
      </c>
      <c r="Q167" s="134">
        <f>INDEX(Inputs!$E$114:$E$125,MATCH(F167,Inputs!$C$114:$C$125,0))</f>
        <v>9.5902218316044743E-2</v>
      </c>
      <c r="R167" s="840">
        <f>Q167*INDEX(Annual!$U$9:$U$22,MATCH(AC167,Annual!$AD$9:$AD$22,0))</f>
        <v>1189.9547248654833</v>
      </c>
      <c r="S167" s="164">
        <f t="shared" si="52"/>
        <v>225.20369149969221</v>
      </c>
      <c r="T167" s="165">
        <f>INDEX(Inputs!$F$114:$F$125,MATCH(F167,Inputs!$C$114:$C$125,0))</f>
        <v>8.1909767849321066E-2</v>
      </c>
      <c r="U167" s="264">
        <f>T167*IF(D167="HP prior to CVEO",INDEX(Annual!$P$9:$P$22,MATCH(AC167,Annual!$AD$9:$AD$22,0)),INDEX(Annual!$V$9:$V$22,MATCH(AC167,Annual!$AD$9:$AD$22,0)))</f>
        <v>318.9145109817909</v>
      </c>
      <c r="V167" s="222">
        <f>IF(E167="No",0,_xlfn.IFNA(INDEX(Inputs!$E$50:$E$53,MATCH("Events in "&amp;F167,Inputs!$C$50:$C$53,0)),0)*Inputs!$E$46*Inputs!$E$54)</f>
        <v>0</v>
      </c>
      <c r="W167" s="166">
        <f>V167*(1-Inputs!$E$48)</f>
        <v>0</v>
      </c>
      <c r="X167" s="120">
        <f t="shared" si="43"/>
        <v>749.66911569837748</v>
      </c>
      <c r="Y167" s="120">
        <f t="shared" si="44"/>
        <v>-440.2856091671058</v>
      </c>
      <c r="Z167" s="20">
        <f t="shared" si="45"/>
        <v>-11.547253001183968</v>
      </c>
      <c r="AA167" s="20">
        <f t="shared" si="20"/>
        <v>17.347253001183969</v>
      </c>
      <c r="AB167" s="21">
        <f t="shared" si="46"/>
        <v>-7.3472530011839687</v>
      </c>
      <c r="AC167" s="185" t="str">
        <f t="shared" si="47"/>
        <v>Income EligibleElectricHP prior to CVEOYes</v>
      </c>
      <c r="AD167" t="s">
        <v>27</v>
      </c>
      <c r="AI167" s="58"/>
    </row>
    <row r="168" spans="2:35" x14ac:dyDescent="0.25">
      <c r="B168" s="36" t="s">
        <v>117</v>
      </c>
      <c r="C168" t="s">
        <v>138</v>
      </c>
      <c r="D168" t="s">
        <v>721</v>
      </c>
      <c r="E168" t="s">
        <v>233</v>
      </c>
      <c r="F168" s="18" t="s">
        <v>105</v>
      </c>
      <c r="G168" s="239">
        <f>IF($B168="Residential",0,Inputs!$E$103)</f>
        <v>0.42</v>
      </c>
      <c r="H168" s="162">
        <f>Inputs!$E$98/12</f>
        <v>10</v>
      </c>
      <c r="I168" s="184">
        <f>INDEX(Inputs!$D$114:$D$125,MATCH(F168,Inputs!$C$114:$C$125,0))</f>
        <v>4.827E-2</v>
      </c>
      <c r="J168" s="161">
        <f>Inputs!$E$100</f>
        <v>0.29464000000000001</v>
      </c>
      <c r="K168" s="139">
        <f>Inputs!$E$101</f>
        <v>2.8649999999999998E-2</v>
      </c>
      <c r="L168" s="791">
        <f>EES!$I$23</f>
        <v>3.0100000000000023E-3</v>
      </c>
      <c r="M168" s="190">
        <f t="shared" si="18"/>
        <v>0.32630000000000003</v>
      </c>
      <c r="N168" s="192" t="str">
        <f t="shared" si="19"/>
        <v>R2RESASST</v>
      </c>
      <c r="O168" s="134">
        <f>SUMIFS(Sales!$E$7:$E$54,Sales!$B$7:$B$54,$F168,Sales!$C$7:$C$54,$N168)/SUMIFS(Sales!$E$7:$E$54,Sales!$C$7:$C$54,$N168)</f>
        <v>6.7854031841022025E-2</v>
      </c>
      <c r="P168" s="120">
        <f>O168*(INDEX(Annual!$O$9:$O$22,MATCH($AC168,Annual!$AD$9:$AD$22,0)))</f>
        <v>386.76798149382552</v>
      </c>
      <c r="Q168" s="134">
        <f>INDEX(Inputs!$E$114:$E$125,MATCH(F168,Inputs!$C$114:$C$125,0))</f>
        <v>0.10405019139401983</v>
      </c>
      <c r="R168" s="840">
        <f>Q168*INDEX(Annual!$U$9:$U$22,MATCH(AC168,Annual!$AD$9:$AD$22,0))</f>
        <v>1291.0547748169981</v>
      </c>
      <c r="S168" s="164">
        <f t="shared" si="52"/>
        <v>244.33728035321622</v>
      </c>
      <c r="T168" s="165">
        <f>INDEX(Inputs!$F$114:$F$125,MATCH(F168,Inputs!$C$114:$C$125,0))</f>
        <v>5.577456563001898E-2</v>
      </c>
      <c r="U168" s="264">
        <f>T168*IF(D168="HP prior to CVEO",INDEX(Annual!$P$9:$P$22,MATCH(AC168,Annual!$AD$9:$AD$22,0)),INDEX(Annual!$V$9:$V$22,MATCH(AC168,Annual!$AD$9:$AD$22,0)))</f>
        <v>217.1574745009699</v>
      </c>
      <c r="V168" s="222">
        <f>IF(E168="No",0,_xlfn.IFNA(INDEX(Inputs!$E$50:$E$53,MATCH("Events in "&amp;F168,Inputs!$C$50:$C$53,0)),0)*Inputs!$E$46*Inputs!$E$54)</f>
        <v>0</v>
      </c>
      <c r="W168" s="166">
        <f>V168*(1-Inputs!$E$48)</f>
        <v>0</v>
      </c>
      <c r="X168" s="120">
        <f t="shared" ref="X168:X175" si="53">P168+U168+W168</f>
        <v>603.92545599479536</v>
      </c>
      <c r="Y168" s="120">
        <f t="shared" ref="Y168:Y175" si="54">X168-R168</f>
        <v>-687.12931882220278</v>
      </c>
      <c r="Z168" s="20">
        <f t="shared" ref="Z168:Z175" si="55">IF(Y168&lt;0,(Y168*I168)+(H168*(1-G168)),((Y168*M168)+H168)*(1-G168))</f>
        <v>-27.367732219547729</v>
      </c>
      <c r="AA168" s="20">
        <f t="shared" si="20"/>
        <v>33.16773221954773</v>
      </c>
      <c r="AB168" s="21">
        <f t="shared" ref="AB168:AB175" si="56">IF($B168="Income Eligible",IF(Y168&lt;0,(Y168*I168)+H168,((Y168*M168)+H168)),0)</f>
        <v>-23.16773221954773</v>
      </c>
      <c r="AC168" s="185" t="str">
        <f t="shared" si="47"/>
        <v>Income EligibleElectricHP prior to CVEOYes</v>
      </c>
      <c r="AD168" t="s">
        <v>27</v>
      </c>
      <c r="AI168" s="58"/>
    </row>
    <row r="169" spans="2:35" x14ac:dyDescent="0.25">
      <c r="B169" s="36" t="s">
        <v>117</v>
      </c>
      <c r="C169" t="s">
        <v>138</v>
      </c>
      <c r="D169" t="s">
        <v>721</v>
      </c>
      <c r="E169" t="s">
        <v>233</v>
      </c>
      <c r="F169" s="18" t="s">
        <v>106</v>
      </c>
      <c r="G169" s="239">
        <f>IF($B169="Residential",0,Inputs!$E$103)</f>
        <v>0.42</v>
      </c>
      <c r="H169" s="162">
        <f>Inputs!$E$98/12</f>
        <v>10</v>
      </c>
      <c r="I169" s="184">
        <f>INDEX(Inputs!$D$114:$D$125,MATCH(F169,Inputs!$C$114:$C$125,0))</f>
        <v>5.8689999999999999E-2</v>
      </c>
      <c r="J169" s="161">
        <f>Inputs!$E$100</f>
        <v>0.29464000000000001</v>
      </c>
      <c r="K169" s="139">
        <f>Inputs!$E$101</f>
        <v>2.8649999999999998E-2</v>
      </c>
      <c r="L169" s="791">
        <f>EES!$I$23</f>
        <v>3.0100000000000023E-3</v>
      </c>
      <c r="M169" s="190">
        <f t="shared" si="18"/>
        <v>0.32630000000000003</v>
      </c>
      <c r="N169" s="192" t="str">
        <f t="shared" si="19"/>
        <v>R2RESASST</v>
      </c>
      <c r="O169" s="134">
        <f>SUMIFS(Sales!$E$7:$E$54,Sales!$B$7:$B$54,$F169,Sales!$C$7:$C$54,$N169)/SUMIFS(Sales!$E$7:$E$54,Sales!$C$7:$C$54,$N169)</f>
        <v>7.0581775183959652E-2</v>
      </c>
      <c r="P169" s="120">
        <f>O169*(INDEX(Annual!$O$9:$O$22,MATCH($AC169,Annual!$AD$9:$AD$22,0)))</f>
        <v>402.31611854857005</v>
      </c>
      <c r="Q169" s="134">
        <f>INDEX(Inputs!$E$114:$E$125,MATCH(F169,Inputs!$C$114:$C$125,0))</f>
        <v>9.7397110361162206E-2</v>
      </c>
      <c r="R169" s="840">
        <f>Q169*INDEX(Annual!$U$9:$U$22,MATCH(AC169,Annual!$AD$9:$AD$22,0))</f>
        <v>1208.5033453613007</v>
      </c>
      <c r="S169" s="164">
        <f t="shared" si="52"/>
        <v>228.71409212300767</v>
      </c>
      <c r="T169" s="165">
        <f>INDEX(Inputs!$F$114:$F$125,MATCH(F169,Inputs!$C$114:$C$125,0))</f>
        <v>2.044094028325303E-2</v>
      </c>
      <c r="U169" s="264">
        <f>T169*IF(D169="HP prior to CVEO",INDEX(Annual!$P$9:$P$22,MATCH(AC169,Annual!$AD$9:$AD$22,0)),INDEX(Annual!$V$9:$V$22,MATCH(AC169,Annual!$AD$9:$AD$22,0)))</f>
        <v>79.586508979413054</v>
      </c>
      <c r="V169" s="222">
        <f>IF(E169="No",0,_xlfn.IFNA(INDEX(Inputs!$E$50:$E$53,MATCH("Events in "&amp;F169,Inputs!$C$50:$C$53,0)),0)*Inputs!$E$46*Inputs!$E$54)</f>
        <v>13.56</v>
      </c>
      <c r="W169" s="166">
        <f>V169*(1-Inputs!$E$48)</f>
        <v>1.3559999999999997</v>
      </c>
      <c r="X169" s="120">
        <f t="shared" si="53"/>
        <v>483.25862752798309</v>
      </c>
      <c r="Y169" s="120">
        <f t="shared" si="54"/>
        <v>-725.24471783331762</v>
      </c>
      <c r="Z169" s="20">
        <f t="shared" si="55"/>
        <v>-36.764612489637415</v>
      </c>
      <c r="AA169" s="20">
        <f t="shared" si="20"/>
        <v>42.564612489637412</v>
      </c>
      <c r="AB169" s="21">
        <f t="shared" si="56"/>
        <v>-32.564612489637412</v>
      </c>
      <c r="AC169" s="185" t="str">
        <f t="shared" si="47"/>
        <v>Income EligibleElectricHP prior to CVEOYes</v>
      </c>
      <c r="AD169" t="s">
        <v>27</v>
      </c>
      <c r="AI169" s="58"/>
    </row>
    <row r="170" spans="2:35" x14ac:dyDescent="0.25">
      <c r="B170" s="36" t="s">
        <v>117</v>
      </c>
      <c r="C170" t="s">
        <v>138</v>
      </c>
      <c r="D170" t="s">
        <v>721</v>
      </c>
      <c r="E170" t="s">
        <v>233</v>
      </c>
      <c r="F170" s="18" t="s">
        <v>107</v>
      </c>
      <c r="G170" s="239">
        <f>IF($B170="Residential",0,Inputs!$E$103)</f>
        <v>0.42</v>
      </c>
      <c r="H170" s="162">
        <f>Inputs!$E$98/12</f>
        <v>10</v>
      </c>
      <c r="I170" s="184">
        <f>INDEX(Inputs!$D$114:$D$125,MATCH(F170,Inputs!$C$114:$C$125,0))</f>
        <v>5.5409999999999994E-2</v>
      </c>
      <c r="J170" s="161">
        <f>Inputs!$E$100</f>
        <v>0.29464000000000001</v>
      </c>
      <c r="K170" s="139">
        <f>Inputs!$E$101</f>
        <v>2.8649999999999998E-2</v>
      </c>
      <c r="L170" s="791">
        <f>EES!$I$23</f>
        <v>3.0100000000000023E-3</v>
      </c>
      <c r="M170" s="190">
        <f t="shared" si="18"/>
        <v>0.32630000000000003</v>
      </c>
      <c r="N170" s="192" t="str">
        <f t="shared" si="19"/>
        <v>R2RESASST</v>
      </c>
      <c r="O170" s="134">
        <f>SUMIFS(Sales!$E$7:$E$54,Sales!$B$7:$B$54,$F170,Sales!$C$7:$C$54,$N170)/SUMIFS(Sales!$E$7:$E$54,Sales!$C$7:$C$54,$N170)</f>
        <v>0.10401220728411072</v>
      </c>
      <c r="P170" s="120">
        <f>O170*(INDEX(Annual!$O$9:$O$22,MATCH($AC170,Annual!$AD$9:$AD$22,0)))</f>
        <v>592.86958151943111</v>
      </c>
      <c r="Q170" s="134">
        <f>INDEX(Inputs!$E$114:$E$125,MATCH(F170,Inputs!$C$114:$C$125,0))</f>
        <v>0.10459025798272056</v>
      </c>
      <c r="R170" s="840">
        <f>Q170*INDEX(Annual!$U$9:$U$22,MATCH(AC170,Annual!$AD$9:$AD$22,0))</f>
        <v>1297.7559210495967</v>
      </c>
      <c r="S170" s="164">
        <f t="shared" si="52"/>
        <v>245.60549908232045</v>
      </c>
      <c r="T170" s="165">
        <f>INDEX(Inputs!$F$114:$F$125,MATCH(F170,Inputs!$C$114:$C$125,0))</f>
        <v>3.9421813403416554E-3</v>
      </c>
      <c r="U170" s="264">
        <f>T170*IF(D170="HP prior to CVEO",INDEX(Annual!$P$9:$P$22,MATCH(AC170,Annual!$AD$9:$AD$22,0)),INDEX(Annual!$V$9:$V$22,MATCH(AC170,Annual!$AD$9:$AD$22,0)))</f>
        <v>15.348826731743946</v>
      </c>
      <c r="V170" s="222">
        <f>IF(E170="No",0,_xlfn.IFNA(INDEX(Inputs!$E$50:$E$53,MATCH("Events in "&amp;F170,Inputs!$C$50:$C$53,0)),0)*Inputs!$E$46*Inputs!$E$54)</f>
        <v>183.06</v>
      </c>
      <c r="W170" s="166">
        <f>V170*(1-Inputs!$E$48)</f>
        <v>18.305999999999997</v>
      </c>
      <c r="X170" s="120">
        <f t="shared" si="53"/>
        <v>626.52440825117515</v>
      </c>
      <c r="Y170" s="120">
        <f t="shared" si="54"/>
        <v>-671.23151279842159</v>
      </c>
      <c r="Z170" s="20">
        <f t="shared" si="55"/>
        <v>-31.392938124160533</v>
      </c>
      <c r="AA170" s="20">
        <f t="shared" si="20"/>
        <v>37.192938124160534</v>
      </c>
      <c r="AB170" s="21">
        <f t="shared" si="56"/>
        <v>-27.192938124160534</v>
      </c>
      <c r="AC170" s="185" t="str">
        <f t="shared" si="47"/>
        <v>Income EligibleElectricHP prior to CVEOYes</v>
      </c>
      <c r="AD170" t="s">
        <v>27</v>
      </c>
      <c r="AI170" s="58"/>
    </row>
    <row r="171" spans="2:35" x14ac:dyDescent="0.25">
      <c r="B171" s="36" t="s">
        <v>117</v>
      </c>
      <c r="C171" t="s">
        <v>138</v>
      </c>
      <c r="D171" t="s">
        <v>721</v>
      </c>
      <c r="E171" t="s">
        <v>233</v>
      </c>
      <c r="F171" s="18" t="s">
        <v>108</v>
      </c>
      <c r="G171" s="239">
        <f>IF($B171="Residential",0,Inputs!$E$103)</f>
        <v>0.42</v>
      </c>
      <c r="H171" s="162">
        <f>Inputs!$E$98/12</f>
        <v>10</v>
      </c>
      <c r="I171" s="184">
        <f>INDEX(Inputs!$D$114:$D$125,MATCH(F171,Inputs!$C$114:$C$125,0))</f>
        <v>5.1479999999999998E-2</v>
      </c>
      <c r="J171" s="161">
        <f>Inputs!$E$100</f>
        <v>0.29464000000000001</v>
      </c>
      <c r="K171" s="139">
        <f>Inputs!$E$101</f>
        <v>2.8649999999999998E-2</v>
      </c>
      <c r="L171" s="791">
        <f>EES!$I$23</f>
        <v>3.0100000000000023E-3</v>
      </c>
      <c r="M171" s="190">
        <f t="shared" si="18"/>
        <v>0.32630000000000003</v>
      </c>
      <c r="N171" s="192" t="str">
        <f t="shared" si="19"/>
        <v>R2RESASST</v>
      </c>
      <c r="O171" s="134">
        <f>SUMIFS(Sales!$E$7:$E$54,Sales!$B$7:$B$54,$F171,Sales!$C$7:$C$54,$N171)/SUMIFS(Sales!$E$7:$E$54,Sales!$C$7:$C$54,$N171)</f>
        <v>0.11294527063791739</v>
      </c>
      <c r="P171" s="120">
        <f>O171*(INDEX(Annual!$O$9:$O$22,MATCH($AC171,Annual!$AD$9:$AD$22,0)))</f>
        <v>643.78804263612915</v>
      </c>
      <c r="Q171" s="134">
        <f>INDEX(Inputs!$E$114:$E$125,MATCH(F171,Inputs!$C$114:$C$125,0))</f>
        <v>9.9163535033348085E-2</v>
      </c>
      <c r="R171" s="840">
        <f>Q171*INDEX(Annual!$U$9:$U$22,MATCH(AC171,Annual!$AD$9:$AD$22,0))</f>
        <v>1230.4211426937829</v>
      </c>
      <c r="S171" s="164">
        <f t="shared" si="52"/>
        <v>232.86212293936924</v>
      </c>
      <c r="T171" s="165">
        <f>INDEX(Inputs!$F$114:$F$125,MATCH(F171,Inputs!$C$114:$C$125,0))</f>
        <v>5.5482552197401083E-3</v>
      </c>
      <c r="U171" s="264">
        <f>T171*IF(D171="HP prior to CVEO",INDEX(Annual!$P$9:$P$22,MATCH(AC171,Annual!$AD$9:$AD$22,0)),INDEX(Annual!$V$9:$V$22,MATCH(AC171,Annual!$AD$9:$AD$22,0)))</f>
        <v>21.602052437269258</v>
      </c>
      <c r="V171" s="222">
        <f>IF(E171="No",0,_xlfn.IFNA(INDEX(Inputs!$E$50:$E$53,MATCH("Events in "&amp;F171,Inputs!$C$50:$C$53,0)),0)*Inputs!$E$46*Inputs!$E$54)</f>
        <v>108.48</v>
      </c>
      <c r="W171" s="166">
        <f>V171*(1-Inputs!$E$48)</f>
        <v>10.847999999999997</v>
      </c>
      <c r="X171" s="120">
        <f t="shared" si="53"/>
        <v>676.23809507339831</v>
      </c>
      <c r="Y171" s="120">
        <f t="shared" si="54"/>
        <v>-554.18304762038463</v>
      </c>
      <c r="Z171" s="20">
        <f t="shared" si="55"/>
        <v>-22.729343291497401</v>
      </c>
      <c r="AA171" s="20">
        <f t="shared" si="20"/>
        <v>28.529343291497401</v>
      </c>
      <c r="AB171" s="21">
        <f t="shared" si="56"/>
        <v>-18.529343291497401</v>
      </c>
      <c r="AC171" s="185" t="str">
        <f t="shared" si="47"/>
        <v>Income EligibleElectricHP prior to CVEOYes</v>
      </c>
      <c r="AD171" t="s">
        <v>27</v>
      </c>
      <c r="AI171" s="58"/>
    </row>
    <row r="172" spans="2:35" x14ac:dyDescent="0.25">
      <c r="B172" s="36" t="s">
        <v>117</v>
      </c>
      <c r="C172" t="s">
        <v>138</v>
      </c>
      <c r="D172" t="s">
        <v>721</v>
      </c>
      <c r="E172" t="s">
        <v>233</v>
      </c>
      <c r="F172" s="18" t="s">
        <v>109</v>
      </c>
      <c r="G172" s="239">
        <f>IF($B172="Residential",0,Inputs!$E$103)</f>
        <v>0.42</v>
      </c>
      <c r="H172" s="162">
        <f>Inputs!$E$98/12</f>
        <v>10</v>
      </c>
      <c r="I172" s="184">
        <f>INDEX(Inputs!$D$114:$D$125,MATCH(F172,Inputs!$C$114:$C$125,0))</f>
        <v>5.4880000000000005E-2</v>
      </c>
      <c r="J172" s="161">
        <f>Inputs!$E$100</f>
        <v>0.29464000000000001</v>
      </c>
      <c r="K172" s="139">
        <f>Inputs!$E$101</f>
        <v>2.8649999999999998E-2</v>
      </c>
      <c r="L172" s="791">
        <f>EES!$I$23</f>
        <v>3.0100000000000023E-3</v>
      </c>
      <c r="M172" s="190">
        <f t="shared" si="18"/>
        <v>0.32630000000000003</v>
      </c>
      <c r="N172" s="192" t="str">
        <f t="shared" si="19"/>
        <v>R2RESASST</v>
      </c>
      <c r="O172" s="134">
        <f>SUMIFS(Sales!$E$7:$E$54,Sales!$B$7:$B$54,$F172,Sales!$C$7:$C$54,$N172)/SUMIFS(Sales!$E$7:$E$54,Sales!$C$7:$C$54,$N172)</f>
        <v>8.9486160574449899E-2</v>
      </c>
      <c r="P172" s="120">
        <f>O172*(INDEX(Annual!$O$9:$O$22,MATCH($AC172,Annual!$AD$9:$AD$22,0)))</f>
        <v>510.07111527436444</v>
      </c>
      <c r="Q172" s="134">
        <f>INDEX(Inputs!$E$114:$E$125,MATCH(F172,Inputs!$C$114:$C$125,0))</f>
        <v>9.3858976615798895E-2</v>
      </c>
      <c r="R172" s="840">
        <f>Q172*INDEX(Annual!$U$9:$U$22,MATCH(AC172,Annual!$AD$9:$AD$22,0))</f>
        <v>1164.6021818488327</v>
      </c>
      <c r="S172" s="164">
        <f t="shared" si="52"/>
        <v>220.40562132361904</v>
      </c>
      <c r="T172" s="165">
        <f>INDEX(Inputs!$F$114:$F$125,MATCH(F172,Inputs!$C$114:$C$125,0))</f>
        <v>1.9272886552781428E-2</v>
      </c>
      <c r="U172" s="264">
        <f>T172*IF(D172="HP prior to CVEO",INDEX(Annual!$P$9:$P$22,MATCH(AC172,Annual!$AD$9:$AD$22,0)),INDEX(Annual!$V$9:$V$22,MATCH(AC172,Annual!$AD$9:$AD$22,0)))</f>
        <v>75.038708466303746</v>
      </c>
      <c r="V172" s="222">
        <f>IF(E172="No",0,_xlfn.IFNA(INDEX(Inputs!$E$50:$E$53,MATCH("Events in "&amp;F172,Inputs!$C$50:$C$53,0)),0)*Inputs!$E$46*Inputs!$E$54)</f>
        <v>0</v>
      </c>
      <c r="W172" s="166">
        <f>V172*(1-Inputs!$E$48)</f>
        <v>0</v>
      </c>
      <c r="X172" s="120">
        <f t="shared" si="53"/>
        <v>585.10982374066816</v>
      </c>
      <c r="Y172" s="120">
        <f t="shared" si="54"/>
        <v>-579.49235810816458</v>
      </c>
      <c r="Z172" s="20">
        <f t="shared" si="55"/>
        <v>-26.002540612976073</v>
      </c>
      <c r="AA172" s="20">
        <f>IF(Y172&gt;0,0,-Y172*$I172)</f>
        <v>31.802540612976074</v>
      </c>
      <c r="AB172" s="21">
        <f t="shared" si="56"/>
        <v>-21.802540612976074</v>
      </c>
      <c r="AC172" s="185" t="str">
        <f t="shared" si="47"/>
        <v>Income EligibleElectricHP prior to CVEOYes</v>
      </c>
      <c r="AD172" t="s">
        <v>27</v>
      </c>
      <c r="AI172" s="58"/>
    </row>
    <row r="173" spans="2:35" x14ac:dyDescent="0.25">
      <c r="B173" s="36" t="s">
        <v>117</v>
      </c>
      <c r="C173" t="s">
        <v>138</v>
      </c>
      <c r="D173" t="s">
        <v>721</v>
      </c>
      <c r="E173" t="s">
        <v>233</v>
      </c>
      <c r="F173" s="18" t="s">
        <v>110</v>
      </c>
      <c r="G173" s="239">
        <f>IF($B173="Residential",0,Inputs!$E$103)</f>
        <v>0.42</v>
      </c>
      <c r="H173" s="162">
        <f>Inputs!$E$98/12</f>
        <v>10</v>
      </c>
      <c r="I173" s="184">
        <f>INDEX(Inputs!$D$114:$D$125,MATCH(F173,Inputs!$C$114:$C$125,0))</f>
        <v>5.9859999999999997E-2</v>
      </c>
      <c r="J173" s="161">
        <f>Inputs!$E$100</f>
        <v>0.29464000000000001</v>
      </c>
      <c r="K173" s="139">
        <f>Inputs!$E$101</f>
        <v>2.8649999999999998E-2</v>
      </c>
      <c r="L173" s="791">
        <f>EES!$I$23</f>
        <v>3.0100000000000023E-3</v>
      </c>
      <c r="M173" s="190">
        <f t="shared" si="18"/>
        <v>0.32630000000000003</v>
      </c>
      <c r="N173" s="192" t="str">
        <f t="shared" si="19"/>
        <v>R2RESASST</v>
      </c>
      <c r="O173" s="134">
        <f>SUMIFS(Sales!$E$7:$E$54,Sales!$B$7:$B$54,$F173,Sales!$C$7:$C$54,$N173)/SUMIFS(Sales!$E$7:$E$54,Sales!$C$7:$C$54,$N173)</f>
        <v>6.8945458928186681E-2</v>
      </c>
      <c r="P173" s="120">
        <f>O173*(INDEX(Annual!$O$9:$O$22,MATCH($AC173,Annual!$AD$9:$AD$22,0)))</f>
        <v>392.9891158906641</v>
      </c>
      <c r="Q173" s="134">
        <f>INDEX(Inputs!$E$114:$E$125,MATCH(F173,Inputs!$C$114:$C$125,0))</f>
        <v>7.6465910496739911E-2</v>
      </c>
      <c r="R173" s="840">
        <f>Q173*INDEX(Annual!$U$9:$U$22,MATCH(AC173,Annual!$AD$9:$AD$22,0))</f>
        <v>948.7890174435488</v>
      </c>
      <c r="S173" s="164">
        <f t="shared" si="52"/>
        <v>179.56211670726142</v>
      </c>
      <c r="T173" s="165">
        <f>INDEX(Inputs!$F$114:$F$125,MATCH(F173,Inputs!$C$114:$C$125,0))</f>
        <v>4.0589867133888159E-2</v>
      </c>
      <c r="U173" s="264">
        <f>T173*IF(D173="HP prior to CVEO",INDEX(Annual!$P$9:$P$22,MATCH(AC173,Annual!$AD$9:$AD$22,0)),INDEX(Annual!$V$9:$V$22,MATCH(AC173,Annual!$AD$9:$AD$22,0)))</f>
        <v>158.03606783054877</v>
      </c>
      <c r="V173" s="222">
        <f>IF(E173="No",0,_xlfn.IFNA(INDEX(Inputs!$E$50:$E$53,MATCH("Events in "&amp;F173,Inputs!$C$50:$C$53,0)),0)*Inputs!$E$46*Inputs!$E$54)</f>
        <v>0</v>
      </c>
      <c r="W173" s="166">
        <f>V173*(1-Inputs!$E$48)</f>
        <v>0</v>
      </c>
      <c r="X173" s="120">
        <f t="shared" si="53"/>
        <v>551.0251837212129</v>
      </c>
      <c r="Y173" s="120">
        <f t="shared" si="54"/>
        <v>-397.7638337223359</v>
      </c>
      <c r="Z173" s="20">
        <f t="shared" si="55"/>
        <v>-18.010143086619024</v>
      </c>
      <c r="AA173" s="20">
        <f t="shared" si="20"/>
        <v>23.810143086619025</v>
      </c>
      <c r="AB173" s="21">
        <f t="shared" si="56"/>
        <v>-13.810143086619025</v>
      </c>
      <c r="AC173" s="185" t="str">
        <f t="shared" si="47"/>
        <v>Income EligibleElectricHP prior to CVEOYes</v>
      </c>
      <c r="AD173" t="s">
        <v>27</v>
      </c>
      <c r="AI173" s="58"/>
    </row>
    <row r="174" spans="2:35" x14ac:dyDescent="0.25">
      <c r="B174" s="36" t="s">
        <v>117</v>
      </c>
      <c r="C174" t="s">
        <v>138</v>
      </c>
      <c r="D174" t="s">
        <v>721</v>
      </c>
      <c r="E174" t="s">
        <v>233</v>
      </c>
      <c r="F174" s="18" t="s">
        <v>111</v>
      </c>
      <c r="G174" s="239">
        <f>IF($B174="Residential",0,Inputs!$E$103)</f>
        <v>0.42</v>
      </c>
      <c r="H174" s="162">
        <f>Inputs!$E$98/12</f>
        <v>10</v>
      </c>
      <c r="I174" s="184">
        <f>INDEX(Inputs!$D$114:$D$125,MATCH(F174,Inputs!$C$114:$C$125,0))</f>
        <v>0.10368000000000001</v>
      </c>
      <c r="J174" s="161">
        <f>Inputs!$E$100</f>
        <v>0.29464000000000001</v>
      </c>
      <c r="K174" s="139">
        <f>Inputs!$E$101</f>
        <v>2.8649999999999998E-2</v>
      </c>
      <c r="L174" s="791">
        <f>EES!$I$23</f>
        <v>3.0100000000000023E-3</v>
      </c>
      <c r="M174" s="190">
        <f t="shared" si="18"/>
        <v>0.32630000000000003</v>
      </c>
      <c r="N174" s="192" t="str">
        <f t="shared" si="19"/>
        <v>R2RESASST</v>
      </c>
      <c r="O174" s="134">
        <f>SUMIFS(Sales!$E$7:$E$54,Sales!$B$7:$B$54,$F174,Sales!$C$7:$C$54,$N174)/SUMIFS(Sales!$E$7:$E$54,Sales!$C$7:$C$54,$N174)</f>
        <v>6.1773805060155777E-2</v>
      </c>
      <c r="P174" s="120">
        <f>O174*(INDEX(Annual!$O$9:$O$22,MATCH($AC174,Annual!$AD$9:$AD$22,0)))</f>
        <v>352.11068884288795</v>
      </c>
      <c r="Q174" s="134">
        <f>INDEX(Inputs!$E$114:$E$125,MATCH(F174,Inputs!$C$114:$C$125,0))</f>
        <v>5.8509626541612472E-2</v>
      </c>
      <c r="R174" s="840">
        <f>Q174*INDEX(Annual!$U$9:$U$22,MATCH(AC174,Annual!$AD$9:$AD$22,0))</f>
        <v>725.98744612832752</v>
      </c>
      <c r="S174" s="164">
        <f t="shared" si="52"/>
        <v>137.39602812957051</v>
      </c>
      <c r="T174" s="165">
        <f>INDEX(Inputs!$F$114:$F$125,MATCH(F174,Inputs!$C$114:$C$125,0))</f>
        <v>0.10643889618922471</v>
      </c>
      <c r="U174" s="264">
        <f>T174*IF(D174="HP prior to CVEO",INDEX(Annual!$P$9:$P$22,MATCH(AC174,Annual!$AD$9:$AD$22,0)),INDEX(Annual!$V$9:$V$22,MATCH(AC174,Annual!$AD$9:$AD$22,0)))</f>
        <v>414.41832175708657</v>
      </c>
      <c r="V174" s="222">
        <f>IF(E174="No",0,_xlfn.IFNA(INDEX(Inputs!$E$50:$E$53,MATCH("Events in "&amp;F174,Inputs!$C$50:$C$53,0)),0)*Inputs!$E$46*Inputs!$E$54)</f>
        <v>0</v>
      </c>
      <c r="W174" s="166">
        <f>V174*(1-Inputs!$E$48)</f>
        <v>0</v>
      </c>
      <c r="X174" s="120">
        <f t="shared" si="53"/>
        <v>766.52901059997453</v>
      </c>
      <c r="Y174" s="120">
        <f t="shared" si="54"/>
        <v>40.541564471647007</v>
      </c>
      <c r="Z174" s="20">
        <f t="shared" si="55"/>
        <v>13.472653242517085</v>
      </c>
      <c r="AA174" s="20">
        <f t="shared" si="20"/>
        <v>0</v>
      </c>
      <c r="AB174" s="21">
        <f t="shared" si="56"/>
        <v>23.22871248709842</v>
      </c>
      <c r="AC174" s="185" t="str">
        <f t="shared" si="47"/>
        <v>Income EligibleElectricHP prior to CVEOYes</v>
      </c>
      <c r="AD174" t="s">
        <v>27</v>
      </c>
      <c r="AI174" s="58"/>
    </row>
    <row r="175" spans="2:35" x14ac:dyDescent="0.25">
      <c r="B175" s="36" t="s">
        <v>117</v>
      </c>
      <c r="C175" t="s">
        <v>138</v>
      </c>
      <c r="D175" t="s">
        <v>721</v>
      </c>
      <c r="E175" s="1" t="s">
        <v>233</v>
      </c>
      <c r="F175" s="61" t="s">
        <v>112</v>
      </c>
      <c r="G175" s="239">
        <f>IF($B175="Residential",0,Inputs!$E$103)</f>
        <v>0.42</v>
      </c>
      <c r="H175" s="162">
        <f>Inputs!$E$98/12</f>
        <v>10</v>
      </c>
      <c r="I175" s="184">
        <f>INDEX(Inputs!$D$114:$D$125,MATCH(F175,Inputs!$C$114:$C$125,0))</f>
        <v>7.7920000000000003E-2</v>
      </c>
      <c r="J175" s="161">
        <f>Inputs!$E$100</f>
        <v>0.29464000000000001</v>
      </c>
      <c r="K175" s="139">
        <f>Inputs!$E$101</f>
        <v>2.8649999999999998E-2</v>
      </c>
      <c r="L175" s="791">
        <f>EES!$I$23</f>
        <v>3.0100000000000023E-3</v>
      </c>
      <c r="M175" s="190">
        <f t="shared" si="18"/>
        <v>0.32630000000000003</v>
      </c>
      <c r="N175" s="192" t="str">
        <f t="shared" si="19"/>
        <v>R2RESASST</v>
      </c>
      <c r="O175" s="134">
        <f>SUMIFS(Sales!$E$7:$E$54,Sales!$B$7:$B$54,$F175,Sales!$C$7:$C$54,$N175)/SUMIFS(Sales!$E$7:$E$54,Sales!$C$7:$C$54,$N175)</f>
        <v>8.8891990421156086E-2</v>
      </c>
      <c r="P175" s="120">
        <f>O175*(INDEX(Annual!$O$9:$O$22,MATCH($AC175,Annual!$AD$9:$AD$22,0)))</f>
        <v>506.68434540058968</v>
      </c>
      <c r="Q175" s="134">
        <f>INDEX(Inputs!$E$114:$E$125,MATCH(F175,Inputs!$C$114:$C$125,0))</f>
        <v>4.8504549439315578E-2</v>
      </c>
      <c r="R175" s="858">
        <f>Q175*INDEX(Annual!$U$9:$U$22,MATCH(AC175,Annual!$AD$9:$AD$22,0))</f>
        <v>601.84444944302766</v>
      </c>
      <c r="S175" s="164">
        <f t="shared" si="52"/>
        <v>113.90146943489077</v>
      </c>
      <c r="T175" s="165">
        <f>INDEX(Inputs!$F$114:$F$125,MATCH(F175,Inputs!$C$114:$C$125,0))</f>
        <v>0.15389107898963353</v>
      </c>
      <c r="U175" s="264">
        <f>T175*IF(D175="HP prior to CVEO",INDEX(Annual!$P$9:$P$22,MATCH(AC175,Annual!$AD$9:$AD$22,0)),INDEX(Annual!$V$9:$V$22,MATCH(AC175,Annual!$AD$9:$AD$22,0)))</f>
        <v>599.1727176021526</v>
      </c>
      <c r="V175" s="866">
        <f>IF(E175="No",0,_xlfn.IFNA(INDEX(Inputs!$E$50:$E$53,MATCH("Events in "&amp;F175,Inputs!$C$50:$C$53,0)),0)*Inputs!$E$46*Inputs!$E$54)</f>
        <v>0</v>
      </c>
      <c r="W175" s="166">
        <f>V175*(1-Inputs!$E$48)</f>
        <v>0</v>
      </c>
      <c r="X175" s="120">
        <f t="shared" si="53"/>
        <v>1105.8570630027423</v>
      </c>
      <c r="Y175" s="120">
        <f t="shared" si="54"/>
        <v>504.01261355971462</v>
      </c>
      <c r="Z175" s="20">
        <f t="shared" si="55"/>
        <v>101.18640316663026</v>
      </c>
      <c r="AA175" s="20">
        <f t="shared" si="20"/>
        <v>0</v>
      </c>
      <c r="AB175" s="21">
        <f t="shared" si="56"/>
        <v>174.4593158045349</v>
      </c>
      <c r="AC175" s="185" t="str">
        <f t="shared" si="47"/>
        <v>Income EligibleElectricHP prior to CVEOYes</v>
      </c>
      <c r="AD175" t="s">
        <v>27</v>
      </c>
      <c r="AG175" s="104"/>
      <c r="AI175" s="58"/>
    </row>
    <row r="176" spans="2:35" x14ac:dyDescent="0.25">
      <c r="B176" s="338"/>
      <c r="C176" s="339"/>
      <c r="D176" s="339"/>
      <c r="E176" s="339"/>
      <c r="F176" s="339"/>
      <c r="G176" s="340"/>
      <c r="H176" s="340"/>
      <c r="I176" s="341"/>
      <c r="J176" s="342"/>
      <c r="K176" s="341"/>
      <c r="L176" s="341"/>
      <c r="M176" s="341"/>
      <c r="N176" s="347"/>
      <c r="O176" s="343"/>
      <c r="P176" s="344"/>
      <c r="Q176" s="344"/>
      <c r="R176" s="344"/>
      <c r="S176" s="345"/>
      <c r="T176" s="343"/>
      <c r="U176" s="344"/>
      <c r="V176" s="344"/>
      <c r="W176" s="344"/>
      <c r="X176" s="344"/>
      <c r="Y176" s="344"/>
      <c r="Z176" s="344"/>
      <c r="AA176" s="344"/>
      <c r="AB176" s="344"/>
      <c r="AC176" s="346"/>
      <c r="AD176" t="s">
        <v>27</v>
      </c>
      <c r="AG176" s="104"/>
    </row>
    <row r="177" spans="2:35" x14ac:dyDescent="0.25">
      <c r="B177" s="608" t="s">
        <v>182</v>
      </c>
      <c r="C177" s="8" t="s">
        <v>130</v>
      </c>
      <c r="D177" s="8" t="s">
        <v>131</v>
      </c>
      <c r="E177" s="8" t="s">
        <v>234</v>
      </c>
      <c r="F177" s="607" t="s">
        <v>176</v>
      </c>
      <c r="G177" s="209"/>
      <c r="H177" s="209"/>
      <c r="I177" s="210"/>
      <c r="J177" s="263"/>
      <c r="K177" s="211"/>
      <c r="L177" s="211"/>
      <c r="M177" s="214"/>
      <c r="N177" s="265"/>
      <c r="O177" s="610">
        <f t="shared" ref="O177:V177" si="57">SUMIF($AC$8:$AC$175,$AC177,O$8:O$175)</f>
        <v>0.99999999999999989</v>
      </c>
      <c r="P177" s="212">
        <f t="shared" si="57"/>
        <v>6359.9999999999991</v>
      </c>
      <c r="Q177" s="610">
        <f t="shared" si="57"/>
        <v>0.99999999999999989</v>
      </c>
      <c r="R177" s="212">
        <f t="shared" si="57"/>
        <v>4814.666666666667</v>
      </c>
      <c r="S177" s="212">
        <f t="shared" si="57"/>
        <v>1571.0257333333334</v>
      </c>
      <c r="T177" s="610">
        <f t="shared" si="57"/>
        <v>1</v>
      </c>
      <c r="U177" s="213">
        <f t="shared" si="57"/>
        <v>5745.82</v>
      </c>
      <c r="V177" s="860">
        <f t="shared" si="57"/>
        <v>0</v>
      </c>
      <c r="W177" s="861">
        <f t="shared" ref="W177:AB190" si="58">SUMIF($AC$8:$AC$175,$AC177,W$8:W$175)</f>
        <v>0</v>
      </c>
      <c r="X177" s="861">
        <f>SUMIF($AC$8:$AC$175,$AC177,X$8:X$175)</f>
        <v>12105.820000000002</v>
      </c>
      <c r="Y177" s="861">
        <f t="shared" si="58"/>
        <v>7291.1533333333318</v>
      </c>
      <c r="Z177" s="861">
        <f t="shared" si="58"/>
        <v>2499.1033326666666</v>
      </c>
      <c r="AA177" s="861">
        <f t="shared" si="58"/>
        <v>0</v>
      </c>
      <c r="AB177" s="862">
        <f t="shared" si="58"/>
        <v>0</v>
      </c>
      <c r="AC177" s="185" t="str">
        <f t="shared" si="47"/>
        <v>ResidentialOilDuctlessNo</v>
      </c>
      <c r="AD177" t="s">
        <v>27</v>
      </c>
      <c r="AE177" s="8"/>
      <c r="AF177" s="186">
        <f>INDEX(Annual!$V$9:$V$22,MATCH(AC177,Annual!$AD$9:$AD$22,0))-U177</f>
        <v>0</v>
      </c>
      <c r="AG177" s="187">
        <f>Y177-W177-INDEX(Annual!$X$9:$X$22,MATCH(AC177,Annual!$AD$9:$AD$22,0))</f>
        <v>0</v>
      </c>
      <c r="AH177" s="188"/>
      <c r="AI177" s="126"/>
    </row>
    <row r="178" spans="2:35" x14ac:dyDescent="0.25">
      <c r="B178" s="608" t="s">
        <v>182</v>
      </c>
      <c r="C178" s="8" t="s">
        <v>130</v>
      </c>
      <c r="D178" s="8" t="s">
        <v>131</v>
      </c>
      <c r="E178" s="8" t="s">
        <v>233</v>
      </c>
      <c r="F178" s="607" t="s">
        <v>176</v>
      </c>
      <c r="G178" s="209"/>
      <c r="H178" s="209"/>
      <c r="I178" s="210"/>
      <c r="J178" s="263" t="s">
        <v>27</v>
      </c>
      <c r="K178" s="211"/>
      <c r="L178" s="211"/>
      <c r="M178" s="214"/>
      <c r="N178" s="265"/>
      <c r="O178" s="610">
        <f t="shared" ref="O178:U190" si="59">SUMIF($AC$8:$AC$175,$AC178,O$8:O$175)</f>
        <v>0.99999999999999989</v>
      </c>
      <c r="P178" s="212">
        <f t="shared" si="59"/>
        <v>6359.9999999999991</v>
      </c>
      <c r="Q178" s="610">
        <f t="shared" si="59"/>
        <v>0.99999999999999989</v>
      </c>
      <c r="R178" s="212">
        <f t="shared" si="59"/>
        <v>4357.9999999999991</v>
      </c>
      <c r="S178" s="212">
        <f t="shared" si="59"/>
        <v>1422.0154</v>
      </c>
      <c r="T178" s="610">
        <f t="shared" si="59"/>
        <v>1</v>
      </c>
      <c r="U178" s="213">
        <f t="shared" si="59"/>
        <v>5745.82</v>
      </c>
      <c r="V178" s="860">
        <f t="shared" ref="V178:V190" si="60">SUMIF($AC$8:$AC$175,$AC178,V$8:V$175)</f>
        <v>305.10000000000002</v>
      </c>
      <c r="W178" s="861">
        <f t="shared" si="58"/>
        <v>30.509999999999991</v>
      </c>
      <c r="X178" s="861">
        <f t="shared" si="58"/>
        <v>12136.33</v>
      </c>
      <c r="Y178" s="861">
        <f t="shared" si="58"/>
        <v>7778.3299999999981</v>
      </c>
      <c r="Z178" s="861">
        <f t="shared" si="58"/>
        <v>2658.0690789999999</v>
      </c>
      <c r="AA178" s="861">
        <f t="shared" si="58"/>
        <v>0</v>
      </c>
      <c r="AB178" s="862">
        <f t="shared" si="58"/>
        <v>0</v>
      </c>
      <c r="AC178" s="185" t="str">
        <f t="shared" si="47"/>
        <v>ResidentialOilDuctlessYes</v>
      </c>
      <c r="AD178" t="s">
        <v>27</v>
      </c>
      <c r="AE178" s="8"/>
      <c r="AF178" s="186">
        <f>INDEX(Annual!$V$9:$V$22,MATCH(AC178,Annual!$AD$9:$AD$22,0))-U178</f>
        <v>0</v>
      </c>
      <c r="AG178" s="187">
        <f>Y178-W178-INDEX(Annual!$X$9:$X$22,MATCH(AC178,Annual!$AD$9:$AD$22,0))</f>
        <v>-30.510000000002037</v>
      </c>
      <c r="AH178" s="188"/>
      <c r="AI178" s="126"/>
    </row>
    <row r="179" spans="2:35" x14ac:dyDescent="0.25">
      <c r="B179" s="608" t="s">
        <v>182</v>
      </c>
      <c r="C179" s="8" t="s">
        <v>160</v>
      </c>
      <c r="D179" s="8" t="s">
        <v>131</v>
      </c>
      <c r="E179" s="8" t="s">
        <v>234</v>
      </c>
      <c r="F179" s="607" t="s">
        <v>176</v>
      </c>
      <c r="G179" s="209"/>
      <c r="H179" s="209"/>
      <c r="I179" s="210"/>
      <c r="J179" s="263"/>
      <c r="K179" s="211"/>
      <c r="L179" s="211"/>
      <c r="M179" s="214"/>
      <c r="N179" s="265"/>
      <c r="O179" s="610">
        <f t="shared" si="59"/>
        <v>0.99999999999999989</v>
      </c>
      <c r="P179" s="212">
        <f t="shared" si="59"/>
        <v>6359.9999999999991</v>
      </c>
      <c r="Q179" s="610">
        <f t="shared" si="59"/>
        <v>0.99999999999999989</v>
      </c>
      <c r="R179" s="212">
        <f t="shared" si="59"/>
        <v>9247.5555555555529</v>
      </c>
      <c r="S179" s="212">
        <f t="shared" si="59"/>
        <v>3017.4773777777777</v>
      </c>
      <c r="T179" s="610">
        <f t="shared" si="59"/>
        <v>1</v>
      </c>
      <c r="U179" s="213">
        <f t="shared" si="59"/>
        <v>8077.8666666666668</v>
      </c>
      <c r="V179" s="860">
        <f t="shared" si="60"/>
        <v>0</v>
      </c>
      <c r="W179" s="861">
        <f t="shared" si="58"/>
        <v>0</v>
      </c>
      <c r="X179" s="861">
        <f t="shared" si="58"/>
        <v>14437.866666666665</v>
      </c>
      <c r="Y179" s="861">
        <f t="shared" si="58"/>
        <v>5190.311111111112</v>
      </c>
      <c r="Z179" s="861">
        <f t="shared" si="58"/>
        <v>1995.8172158752673</v>
      </c>
      <c r="AA179" s="861">
        <f t="shared" si="58"/>
        <v>37.388817579737207</v>
      </c>
      <c r="AB179" s="862">
        <f t="shared" si="58"/>
        <v>0</v>
      </c>
      <c r="AC179" s="185" t="str">
        <f t="shared" si="47"/>
        <v>ResidentialPropaneDuctlessNo</v>
      </c>
      <c r="AD179" t="s">
        <v>27</v>
      </c>
      <c r="AE179" s="8"/>
      <c r="AF179" s="186">
        <f>INDEX(Annual!$V$9:$V$22,MATCH(AC179,Annual!$AD$9:$AD$22,0))-U179</f>
        <v>0</v>
      </c>
      <c r="AG179" s="187">
        <f>Y179-W179-INDEX(Annual!$X$9:$X$22,MATCH(AC179,Annual!$AD$9:$AD$22,0))</f>
        <v>0</v>
      </c>
      <c r="AH179" s="188"/>
      <c r="AI179" s="126"/>
    </row>
    <row r="180" spans="2:35" x14ac:dyDescent="0.25">
      <c r="B180" s="608" t="s">
        <v>182</v>
      </c>
      <c r="C180" s="8" t="s">
        <v>138</v>
      </c>
      <c r="D180" s="8" t="s">
        <v>131</v>
      </c>
      <c r="E180" s="8" t="s">
        <v>234</v>
      </c>
      <c r="F180" s="607" t="s">
        <v>176</v>
      </c>
      <c r="G180" s="209"/>
      <c r="H180" s="209"/>
      <c r="I180" s="210"/>
      <c r="J180" s="263"/>
      <c r="K180" s="211"/>
      <c r="L180" s="211"/>
      <c r="M180" s="214"/>
      <c r="N180" s="265"/>
      <c r="O180" s="610">
        <f t="shared" si="59"/>
        <v>0.99999999999999989</v>
      </c>
      <c r="P180" s="212">
        <f t="shared" si="59"/>
        <v>6359.9999999999991</v>
      </c>
      <c r="Q180" s="610">
        <f t="shared" si="59"/>
        <v>0.99999999999999989</v>
      </c>
      <c r="R180" s="212">
        <f t="shared" si="59"/>
        <v>2814</v>
      </c>
      <c r="S180" s="212">
        <f t="shared" si="59"/>
        <v>918.20819999999992</v>
      </c>
      <c r="T180" s="610">
        <f t="shared" si="59"/>
        <v>1</v>
      </c>
      <c r="U180" s="213">
        <f t="shared" si="59"/>
        <v>7496.7164862040972</v>
      </c>
      <c r="V180" s="860">
        <f t="shared" si="60"/>
        <v>0</v>
      </c>
      <c r="W180" s="861">
        <f t="shared" si="58"/>
        <v>0</v>
      </c>
      <c r="X180" s="861">
        <f t="shared" si="58"/>
        <v>13856.716486204095</v>
      </c>
      <c r="Y180" s="861">
        <f t="shared" si="58"/>
        <v>11042.716486204095</v>
      </c>
      <c r="Z180" s="861">
        <f t="shared" si="58"/>
        <v>3723.2383894483964</v>
      </c>
      <c r="AA180" s="861">
        <f t="shared" si="58"/>
        <v>0</v>
      </c>
      <c r="AB180" s="862">
        <f t="shared" si="58"/>
        <v>0</v>
      </c>
      <c r="AC180" s="185" t="str">
        <f t="shared" si="47"/>
        <v>ResidentialElectricDuctlessNo</v>
      </c>
      <c r="AD180" t="s">
        <v>27</v>
      </c>
      <c r="AE180" s="8"/>
      <c r="AF180" s="186">
        <f>INDEX(Annual!$V$9:$V$22,MATCH(AC180,Annual!$AD$9:$AD$22,0))-U180</f>
        <v>0</v>
      </c>
      <c r="AG180" s="187">
        <f>Y180-W180-INDEX(Annual!$X$9:$X$22,MATCH(AC180,Annual!$AD$9:$AD$22,0))</f>
        <v>0</v>
      </c>
      <c r="AH180" s="188"/>
      <c r="AI180" s="126"/>
    </row>
    <row r="181" spans="2:35" x14ac:dyDescent="0.25">
      <c r="B181" s="608" t="s">
        <v>182</v>
      </c>
      <c r="C181" s="8" t="s">
        <v>138</v>
      </c>
      <c r="D181" s="8" t="s">
        <v>721</v>
      </c>
      <c r="E181" s="8" t="s">
        <v>233</v>
      </c>
      <c r="F181" s="607" t="s">
        <v>176</v>
      </c>
      <c r="G181" s="209"/>
      <c r="H181" s="209"/>
      <c r="I181" s="210"/>
      <c r="J181" s="263"/>
      <c r="K181" s="211"/>
      <c r="L181" s="211"/>
      <c r="M181" s="214"/>
      <c r="N181" s="265"/>
      <c r="O181" s="610">
        <f t="shared" si="59"/>
        <v>0.99999999999999989</v>
      </c>
      <c r="P181" s="870">
        <f t="shared" si="59"/>
        <v>6359.9999999999991</v>
      </c>
      <c r="Q181" s="610">
        <f t="shared" si="59"/>
        <v>0.99999999999999989</v>
      </c>
      <c r="R181" s="212">
        <f t="shared" si="59"/>
        <v>12769</v>
      </c>
      <c r="S181" s="870">
        <f t="shared" si="59"/>
        <v>4166.5246999999999</v>
      </c>
      <c r="T181" s="610">
        <f t="shared" si="59"/>
        <v>1</v>
      </c>
      <c r="U181" s="213">
        <f t="shared" si="59"/>
        <v>7244.9928571428582</v>
      </c>
      <c r="V181" s="860">
        <f t="shared" si="60"/>
        <v>305.10000000000002</v>
      </c>
      <c r="W181" s="861">
        <f t="shared" si="58"/>
        <v>30.509999999999991</v>
      </c>
      <c r="X181" s="861">
        <f t="shared" si="58"/>
        <v>13635.502857142859</v>
      </c>
      <c r="Y181" s="861">
        <f t="shared" si="58"/>
        <v>866.50285714285803</v>
      </c>
      <c r="Z181" s="861">
        <f t="shared" si="58"/>
        <v>1194.0404350482081</v>
      </c>
      <c r="AA181" s="861">
        <f t="shared" si="58"/>
        <v>155.21463391702497</v>
      </c>
      <c r="AB181" s="862">
        <f t="shared" si="58"/>
        <v>0</v>
      </c>
      <c r="AC181" s="185" t="str">
        <f t="shared" si="47"/>
        <v>ResidentialElectricHP prior to CVEOYes</v>
      </c>
      <c r="AD181" t="s">
        <v>27</v>
      </c>
      <c r="AE181" s="8"/>
      <c r="AF181" s="186">
        <f>INDEX(Annual!$V$9:$V$22,MATCH(AC181,Annual!$AD$9:$AD$22,0))-U181</f>
        <v>-7244.9928571428582</v>
      </c>
      <c r="AG181" s="187">
        <f>Y181-W181-INDEX(Annual!$X$9:$X$22,MATCH(AC181,Annual!$AD$9:$AD$22,0))</f>
        <v>-30.509999999999422</v>
      </c>
      <c r="AH181" s="188"/>
      <c r="AI181" s="126"/>
    </row>
    <row r="182" spans="2:35" x14ac:dyDescent="0.25">
      <c r="B182" s="608" t="s">
        <v>117</v>
      </c>
      <c r="C182" s="8" t="s">
        <v>130</v>
      </c>
      <c r="D182" s="8" t="s">
        <v>131</v>
      </c>
      <c r="E182" s="8" t="s">
        <v>234</v>
      </c>
      <c r="F182" s="607" t="s">
        <v>176</v>
      </c>
      <c r="G182" s="209"/>
      <c r="H182" s="209"/>
      <c r="I182" s="210"/>
      <c r="J182" s="263"/>
      <c r="K182" s="211"/>
      <c r="L182" s="211"/>
      <c r="M182" s="214"/>
      <c r="N182" s="265"/>
      <c r="O182" s="610">
        <f t="shared" si="59"/>
        <v>1</v>
      </c>
      <c r="P182" s="212">
        <f t="shared" si="59"/>
        <v>5699.9999999999991</v>
      </c>
      <c r="Q182" s="610">
        <f t="shared" si="59"/>
        <v>0.99999999999999989</v>
      </c>
      <c r="R182" s="212">
        <f t="shared" si="59"/>
        <v>4700</v>
      </c>
      <c r="S182" s="212">
        <f t="shared" si="59"/>
        <v>889.49380000000008</v>
      </c>
      <c r="T182" s="610">
        <f t="shared" si="59"/>
        <v>1</v>
      </c>
      <c r="U182" s="213">
        <f t="shared" si="59"/>
        <v>5287.416666666667</v>
      </c>
      <c r="V182" s="860">
        <f t="shared" si="60"/>
        <v>0</v>
      </c>
      <c r="W182" s="861">
        <f t="shared" si="58"/>
        <v>0</v>
      </c>
      <c r="X182" s="861">
        <f t="shared" si="58"/>
        <v>10987.416666666666</v>
      </c>
      <c r="Y182" s="861">
        <f t="shared" si="58"/>
        <v>6287.416666666667</v>
      </c>
      <c r="Z182" s="861">
        <f t="shared" si="58"/>
        <v>1259.5187538333337</v>
      </c>
      <c r="AA182" s="861">
        <f t="shared" si="58"/>
        <v>0</v>
      </c>
      <c r="AB182" s="862">
        <f t="shared" si="58"/>
        <v>2171.5840583333338</v>
      </c>
      <c r="AC182" s="185" t="str">
        <f t="shared" si="47"/>
        <v>Income EligibleOilDuctlessNo</v>
      </c>
      <c r="AD182" t="s">
        <v>27</v>
      </c>
      <c r="AE182" s="8"/>
      <c r="AF182" s="186">
        <f>INDEX(Annual!$V$9:$V$22,MATCH(AC182,Annual!$AD$9:$AD$22,0))-U182</f>
        <v>0</v>
      </c>
      <c r="AG182" s="187">
        <f>Y182-W182-INDEX(Annual!$X$9:$X$22,MATCH(AC182,Annual!$AD$9:$AD$22,0))</f>
        <v>0</v>
      </c>
      <c r="AH182" s="188"/>
      <c r="AI182" s="126"/>
    </row>
    <row r="183" spans="2:35" x14ac:dyDescent="0.25">
      <c r="B183" s="608" t="s">
        <v>117</v>
      </c>
      <c r="C183" s="8" t="s">
        <v>130</v>
      </c>
      <c r="D183" s="8" t="s">
        <v>131</v>
      </c>
      <c r="E183" s="8" t="s">
        <v>233</v>
      </c>
      <c r="F183" s="607" t="s">
        <v>176</v>
      </c>
      <c r="G183" s="209"/>
      <c r="H183" s="209"/>
      <c r="I183" s="210"/>
      <c r="J183" s="263"/>
      <c r="K183" s="211"/>
      <c r="L183" s="211"/>
      <c r="M183" s="214"/>
      <c r="N183" s="265"/>
      <c r="O183" s="610">
        <f t="shared" si="59"/>
        <v>1</v>
      </c>
      <c r="P183" s="212">
        <f t="shared" si="59"/>
        <v>5699.9999999999991</v>
      </c>
      <c r="Q183" s="610">
        <f t="shared" si="59"/>
        <v>0.99999999999999989</v>
      </c>
      <c r="R183" s="212">
        <f t="shared" si="59"/>
        <v>14775.499999999998</v>
      </c>
      <c r="S183" s="212">
        <f t="shared" si="59"/>
        <v>2796.3224770000006</v>
      </c>
      <c r="T183" s="610">
        <f t="shared" si="59"/>
        <v>1</v>
      </c>
      <c r="U183" s="213">
        <f t="shared" si="59"/>
        <v>5287.416666666667</v>
      </c>
      <c r="V183" s="860">
        <f t="shared" si="60"/>
        <v>305.10000000000002</v>
      </c>
      <c r="W183" s="861">
        <f t="shared" si="58"/>
        <v>30.509999999999991</v>
      </c>
      <c r="X183" s="861">
        <f t="shared" si="58"/>
        <v>11017.926666666666</v>
      </c>
      <c r="Y183" s="861">
        <f t="shared" si="58"/>
        <v>-3757.5733333333305</v>
      </c>
      <c r="Z183" s="861">
        <f t="shared" si="58"/>
        <v>107.72423167606095</v>
      </c>
      <c r="AA183" s="861">
        <f t="shared" si="58"/>
        <v>288.01517943939768</v>
      </c>
      <c r="AB183" s="862">
        <f t="shared" si="58"/>
        <v>394.29415007001364</v>
      </c>
      <c r="AC183" s="185" t="str">
        <f t="shared" si="47"/>
        <v>Income EligibleOilDuctlessYes</v>
      </c>
      <c r="AD183" t="s">
        <v>27</v>
      </c>
      <c r="AE183" s="8"/>
      <c r="AF183" s="186">
        <f>INDEX(Annual!$V$9:$V$22,MATCH(AC183,Annual!$AD$9:$AD$22,0))-U183</f>
        <v>0</v>
      </c>
      <c r="AG183" s="187">
        <f>Y183-W183-INDEX(Annual!$X$9:$X$22,MATCH(AC183,Annual!$AD$9:$AD$22,0))</f>
        <v>-30.509999999998399</v>
      </c>
      <c r="AH183" s="188"/>
      <c r="AI183" s="126"/>
    </row>
    <row r="184" spans="2:35" x14ac:dyDescent="0.25">
      <c r="B184" s="608" t="s">
        <v>117</v>
      </c>
      <c r="C184" s="8" t="s">
        <v>160</v>
      </c>
      <c r="D184" s="8" t="s">
        <v>131</v>
      </c>
      <c r="E184" s="8" t="s">
        <v>234</v>
      </c>
      <c r="F184" s="607" t="s">
        <v>176</v>
      </c>
      <c r="G184" s="209"/>
      <c r="H184" s="209"/>
      <c r="I184" s="210"/>
      <c r="J184" s="263"/>
      <c r="K184" s="211"/>
      <c r="L184" s="211"/>
      <c r="M184" s="214"/>
      <c r="N184" s="265"/>
      <c r="O184" s="610">
        <f t="shared" si="59"/>
        <v>1</v>
      </c>
      <c r="P184" s="212">
        <f t="shared" si="59"/>
        <v>5699.9999999999991</v>
      </c>
      <c r="Q184" s="610">
        <f t="shared" si="59"/>
        <v>0.99999999999999989</v>
      </c>
      <c r="R184" s="212">
        <f t="shared" si="59"/>
        <v>7336.2499999999982</v>
      </c>
      <c r="S184" s="212">
        <f t="shared" si="59"/>
        <v>1388.4146575</v>
      </c>
      <c r="T184" s="610">
        <f t="shared" si="59"/>
        <v>1</v>
      </c>
      <c r="U184" s="213">
        <f t="shared" si="59"/>
        <v>4047.0066666666671</v>
      </c>
      <c r="V184" s="860">
        <f t="shared" si="60"/>
        <v>0</v>
      </c>
      <c r="W184" s="861">
        <f t="shared" si="58"/>
        <v>0</v>
      </c>
      <c r="X184" s="861">
        <f t="shared" si="58"/>
        <v>9747.0066666666662</v>
      </c>
      <c r="Y184" s="861">
        <f t="shared" si="58"/>
        <v>2410.756666666668</v>
      </c>
      <c r="Z184" s="861">
        <f t="shared" si="58"/>
        <v>620.71117746952211</v>
      </c>
      <c r="AA184" s="861">
        <f t="shared" si="58"/>
        <v>38.42254820066416</v>
      </c>
      <c r="AB184" s="862">
        <f t="shared" si="58"/>
        <v>1098.0149098513809</v>
      </c>
      <c r="AC184" s="185" t="str">
        <f t="shared" si="47"/>
        <v>Income EligiblePropaneDuctlessNo</v>
      </c>
      <c r="AD184" t="s">
        <v>27</v>
      </c>
      <c r="AE184" s="8"/>
      <c r="AF184" s="186">
        <f>INDEX(Annual!$V$9:$V$22,MATCH(AC184,Annual!$AD$9:$AD$22,0))-U184</f>
        <v>0</v>
      </c>
      <c r="AG184" s="187">
        <f>Y184-W184-INDEX(Annual!$X$9:$X$22,MATCH(AC184,Annual!$AD$9:$AD$22,0))</f>
        <v>0</v>
      </c>
      <c r="AH184" s="188"/>
      <c r="AI184" s="126"/>
    </row>
    <row r="185" spans="2:35" x14ac:dyDescent="0.25">
      <c r="B185" s="608" t="s">
        <v>117</v>
      </c>
      <c r="C185" s="8" t="s">
        <v>160</v>
      </c>
      <c r="D185" s="8" t="s">
        <v>131</v>
      </c>
      <c r="E185" s="8" t="s">
        <v>233</v>
      </c>
      <c r="F185" s="607" t="s">
        <v>176</v>
      </c>
      <c r="G185" s="209"/>
      <c r="H185" s="209"/>
      <c r="I185" s="210"/>
      <c r="J185" s="263"/>
      <c r="K185" s="211"/>
      <c r="L185" s="211"/>
      <c r="M185" s="214"/>
      <c r="N185" s="265"/>
      <c r="O185" s="610">
        <f t="shared" si="59"/>
        <v>1</v>
      </c>
      <c r="P185" s="212">
        <f t="shared" si="59"/>
        <v>5699.9999999999991</v>
      </c>
      <c r="Q185" s="610">
        <f t="shared" si="59"/>
        <v>0.99999999999999989</v>
      </c>
      <c r="R185" s="212">
        <f t="shared" si="59"/>
        <v>11527.666666666664</v>
      </c>
      <c r="S185" s="212">
        <f t="shared" si="59"/>
        <v>2181.6570273333336</v>
      </c>
      <c r="T185" s="610">
        <f t="shared" si="59"/>
        <v>1</v>
      </c>
      <c r="U185" s="213">
        <f t="shared" si="59"/>
        <v>4047.0066666666671</v>
      </c>
      <c r="V185" s="860">
        <f t="shared" si="60"/>
        <v>305.10000000000002</v>
      </c>
      <c r="W185" s="861">
        <f t="shared" si="58"/>
        <v>30.509999999999991</v>
      </c>
      <c r="X185" s="861">
        <f t="shared" si="58"/>
        <v>9777.5166666666664</v>
      </c>
      <c r="Y185" s="861">
        <f t="shared" si="58"/>
        <v>-1750.1499999999974</v>
      </c>
      <c r="Z185" s="861">
        <f t="shared" si="58"/>
        <v>209.98072298313491</v>
      </c>
      <c r="AA185" s="861">
        <f t="shared" si="58"/>
        <v>182.87939429589701</v>
      </c>
      <c r="AB185" s="862">
        <f t="shared" si="58"/>
        <v>494.4656354955373</v>
      </c>
      <c r="AC185" s="185" t="str">
        <f t="shared" si="47"/>
        <v>Income EligiblePropaneDuctlessYes</v>
      </c>
      <c r="AD185" t="s">
        <v>27</v>
      </c>
      <c r="AE185" s="8"/>
      <c r="AF185" s="186">
        <f>INDEX(Annual!$V$9:$V$22,MATCH(AC185,Annual!$AD$9:$AD$22,0))-U185</f>
        <v>0</v>
      </c>
      <c r="AG185" s="187">
        <f>Y185-W185-INDEX(Annual!$X$9:$X$22,MATCH(AC185,Annual!$AD$9:$AD$22,0))</f>
        <v>-30.509999999997717</v>
      </c>
      <c r="AH185" s="188"/>
      <c r="AI185" s="126"/>
    </row>
    <row r="186" spans="2:35" x14ac:dyDescent="0.25">
      <c r="B186" s="608" t="s">
        <v>117</v>
      </c>
      <c r="C186" s="8" t="s">
        <v>160</v>
      </c>
      <c r="D186" s="8" t="s">
        <v>159</v>
      </c>
      <c r="E186" s="8" t="s">
        <v>234</v>
      </c>
      <c r="F186" s="607" t="s">
        <v>176</v>
      </c>
      <c r="G186" s="209"/>
      <c r="H186" s="209"/>
      <c r="I186" s="210"/>
      <c r="J186" s="263"/>
      <c r="K186" s="211"/>
      <c r="L186" s="211"/>
      <c r="M186" s="214"/>
      <c r="N186" s="265"/>
      <c r="O186" s="610">
        <f t="shared" si="59"/>
        <v>1</v>
      </c>
      <c r="P186" s="212">
        <f t="shared" si="59"/>
        <v>5699.9999999999991</v>
      </c>
      <c r="Q186" s="610">
        <f t="shared" si="59"/>
        <v>0.99999999999999989</v>
      </c>
      <c r="R186" s="212">
        <f t="shared" si="59"/>
        <v>5239.7142857142853</v>
      </c>
      <c r="S186" s="212">
        <f t="shared" si="59"/>
        <v>991.63688742857141</v>
      </c>
      <c r="T186" s="610">
        <f t="shared" si="59"/>
        <v>1</v>
      </c>
      <c r="U186" s="213">
        <f t="shared" si="59"/>
        <v>2369.7142857142862</v>
      </c>
      <c r="V186" s="860">
        <f t="shared" si="60"/>
        <v>0</v>
      </c>
      <c r="W186" s="861">
        <f t="shared" si="58"/>
        <v>0</v>
      </c>
      <c r="X186" s="861">
        <f t="shared" si="58"/>
        <v>8069.7142857142853</v>
      </c>
      <c r="Y186" s="861">
        <f t="shared" si="58"/>
        <v>2830.0000000000014</v>
      </c>
      <c r="Z186" s="861">
        <f t="shared" si="58"/>
        <v>616.66913244578188</v>
      </c>
      <c r="AA186" s="861">
        <f t="shared" si="58"/>
        <v>4.7639699725937614</v>
      </c>
      <c r="AB186" s="862">
        <f t="shared" si="58"/>
        <v>1066.6724135073641</v>
      </c>
      <c r="AC186" s="185" t="str">
        <f t="shared" si="47"/>
        <v>Income EligiblePropaneDuctedNo</v>
      </c>
      <c r="AD186" t="s">
        <v>27</v>
      </c>
      <c r="AE186" s="8"/>
      <c r="AF186" s="186">
        <f>INDEX(Annual!$V$9:$V$22,MATCH(AC186,Annual!$AD$9:$AD$22,0))-U186</f>
        <v>0</v>
      </c>
      <c r="AG186" s="187">
        <f>Y186-W186-INDEX(Annual!$X$9:$X$22,MATCH(AC186,Annual!$AD$9:$AD$22,0))</f>
        <v>0</v>
      </c>
      <c r="AH186" s="188"/>
      <c r="AI186" s="126"/>
    </row>
    <row r="187" spans="2:35" x14ac:dyDescent="0.25">
      <c r="B187" s="608" t="s">
        <v>117</v>
      </c>
      <c r="C187" s="8" t="s">
        <v>138</v>
      </c>
      <c r="D187" s="8" t="s">
        <v>131</v>
      </c>
      <c r="E187" s="8" t="s">
        <v>234</v>
      </c>
      <c r="F187" s="607" t="s">
        <v>176</v>
      </c>
      <c r="G187" s="209"/>
      <c r="H187" s="209"/>
      <c r="I187" s="210"/>
      <c r="J187" s="263"/>
      <c r="K187" s="211"/>
      <c r="L187" s="211"/>
      <c r="M187" s="214"/>
      <c r="N187" s="265"/>
      <c r="O187" s="610">
        <f t="shared" si="59"/>
        <v>1</v>
      </c>
      <c r="P187" s="212">
        <f t="shared" si="59"/>
        <v>5699.9999999999991</v>
      </c>
      <c r="Q187" s="610">
        <f t="shared" si="59"/>
        <v>0.99999999999999989</v>
      </c>
      <c r="R187" s="212">
        <f t="shared" si="59"/>
        <v>11839.999999999998</v>
      </c>
      <c r="S187" s="212">
        <f t="shared" si="59"/>
        <v>2240.7673600000003</v>
      </c>
      <c r="T187" s="610">
        <f t="shared" si="59"/>
        <v>1</v>
      </c>
      <c r="U187" s="213">
        <f t="shared" si="59"/>
        <v>3693.3938353528215</v>
      </c>
      <c r="V187" s="860">
        <f t="shared" si="60"/>
        <v>0</v>
      </c>
      <c r="W187" s="861">
        <f t="shared" si="58"/>
        <v>0</v>
      </c>
      <c r="X187" s="861">
        <f t="shared" si="58"/>
        <v>9393.393835352821</v>
      </c>
      <c r="Y187" s="861">
        <f t="shared" si="58"/>
        <v>-2446.6061646471771</v>
      </c>
      <c r="Z187" s="861">
        <f t="shared" si="58"/>
        <v>134.08822287109791</v>
      </c>
      <c r="AA187" s="861">
        <f t="shared" si="58"/>
        <v>202.44119377253307</v>
      </c>
      <c r="AB187" s="862">
        <f t="shared" si="58"/>
        <v>377.78193837165816</v>
      </c>
      <c r="AC187" s="185" t="str">
        <f t="shared" si="47"/>
        <v>Income EligibleElectricDuctlessNo</v>
      </c>
      <c r="AD187" t="s">
        <v>27</v>
      </c>
      <c r="AE187" s="8"/>
      <c r="AF187" s="186">
        <f>INDEX(Annual!$V$9:$V$22,MATCH(AC187,Annual!$AD$9:$AD$22,0))-U187</f>
        <v>0</v>
      </c>
      <c r="AG187" s="187">
        <f>Y187-W187-INDEX(Annual!$X$9:$X$22,MATCH(AC187,Annual!$AD$9:$AD$22,0))</f>
        <v>0</v>
      </c>
      <c r="AH187" s="188"/>
      <c r="AI187" s="126"/>
    </row>
    <row r="188" spans="2:35" x14ac:dyDescent="0.25">
      <c r="B188" s="608" t="s">
        <v>117</v>
      </c>
      <c r="C188" s="8" t="s">
        <v>138</v>
      </c>
      <c r="D188" s="8" t="s">
        <v>131</v>
      </c>
      <c r="E188" s="8" t="s">
        <v>233</v>
      </c>
      <c r="F188" s="607" t="s">
        <v>176</v>
      </c>
      <c r="G188" s="209"/>
      <c r="H188" s="209"/>
      <c r="I188" s="210"/>
      <c r="J188" s="263"/>
      <c r="K188" s="211"/>
      <c r="L188" s="211"/>
      <c r="M188" s="214"/>
      <c r="N188" s="265"/>
      <c r="O188" s="610">
        <f t="shared" si="59"/>
        <v>1</v>
      </c>
      <c r="P188" s="212">
        <f t="shared" si="59"/>
        <v>5699.9999999999991</v>
      </c>
      <c r="Q188" s="610">
        <f t="shared" si="59"/>
        <v>0.99999999999999989</v>
      </c>
      <c r="R188" s="212">
        <f t="shared" si="59"/>
        <v>6057.9999999999991</v>
      </c>
      <c r="S188" s="212">
        <f t="shared" si="59"/>
        <v>1146.5007320000002</v>
      </c>
      <c r="T188" s="610">
        <f t="shared" si="59"/>
        <v>1</v>
      </c>
      <c r="U188" s="213">
        <f t="shared" si="59"/>
        <v>3693.3938353528215</v>
      </c>
      <c r="V188" s="860">
        <f t="shared" si="60"/>
        <v>305.10000000000002</v>
      </c>
      <c r="W188" s="861">
        <f t="shared" si="58"/>
        <v>30.509999999999991</v>
      </c>
      <c r="X188" s="861">
        <f t="shared" si="58"/>
        <v>9423.9038353528213</v>
      </c>
      <c r="Y188" s="861">
        <f t="shared" si="58"/>
        <v>3365.9038353528222</v>
      </c>
      <c r="Z188" s="861">
        <f t="shared" si="58"/>
        <v>727.43600097651074</v>
      </c>
      <c r="AA188" s="861">
        <f t="shared" si="58"/>
        <v>8.7562892432457851</v>
      </c>
      <c r="AB188" s="862">
        <f t="shared" si="58"/>
        <v>1260.5407628597827</v>
      </c>
      <c r="AC188" s="185" t="str">
        <f t="shared" si="47"/>
        <v>Income EligibleElectricDuctlessYes</v>
      </c>
      <c r="AD188" t="s">
        <v>27</v>
      </c>
      <c r="AE188" s="8"/>
      <c r="AF188" s="186">
        <f>INDEX(Annual!$V$9:$V$22,MATCH(AC188,Annual!$AD$9:$AD$22,0))-U188</f>
        <v>0</v>
      </c>
      <c r="AG188" s="187">
        <f>Y188-W188-INDEX(Annual!$X$9:$X$22,MATCH(AC188,Annual!$AD$9:$AD$22,0))</f>
        <v>-30.509999999999309</v>
      </c>
      <c r="AH188" s="188"/>
      <c r="AI188" s="126"/>
    </row>
    <row r="189" spans="2:35" x14ac:dyDescent="0.25">
      <c r="B189" s="608" t="s">
        <v>117</v>
      </c>
      <c r="C189" s="8" t="s">
        <v>138</v>
      </c>
      <c r="D189" s="8" t="s">
        <v>721</v>
      </c>
      <c r="E189" s="8" t="s">
        <v>234</v>
      </c>
      <c r="F189" s="607" t="s">
        <v>176</v>
      </c>
      <c r="G189" s="209"/>
      <c r="H189" s="209"/>
      <c r="I189" s="210"/>
      <c r="J189" s="263"/>
      <c r="K189" s="211"/>
      <c r="L189" s="211"/>
      <c r="M189" s="214"/>
      <c r="N189" s="265"/>
      <c r="O189" s="610">
        <f t="shared" si="59"/>
        <v>1</v>
      </c>
      <c r="P189" s="212">
        <f t="shared" si="59"/>
        <v>5699.9999999999991</v>
      </c>
      <c r="Q189" s="610">
        <f t="shared" si="59"/>
        <v>0.99999999999999989</v>
      </c>
      <c r="R189" s="212">
        <f t="shared" si="59"/>
        <v>6831.5</v>
      </c>
      <c r="S189" s="212">
        <f t="shared" si="59"/>
        <v>1292.8887010000003</v>
      </c>
      <c r="T189" s="610">
        <f t="shared" si="59"/>
        <v>1</v>
      </c>
      <c r="U189" s="213">
        <f t="shared" si="59"/>
        <v>3893.4857142857149</v>
      </c>
      <c r="V189" s="860">
        <f t="shared" si="60"/>
        <v>0</v>
      </c>
      <c r="W189" s="861">
        <f t="shared" si="58"/>
        <v>0</v>
      </c>
      <c r="X189" s="861">
        <f t="shared" si="58"/>
        <v>9593.4857142857145</v>
      </c>
      <c r="Y189" s="861">
        <f t="shared" si="58"/>
        <v>2761.9857142857154</v>
      </c>
      <c r="Z189" s="861">
        <f t="shared" si="58"/>
        <v>654.76370606879971</v>
      </c>
      <c r="AA189" s="861">
        <f t="shared" si="58"/>
        <v>25.515079329773943</v>
      </c>
      <c r="AB189" s="862">
        <f t="shared" si="58"/>
        <v>1147.3793782539735</v>
      </c>
      <c r="AC189" s="185" t="str">
        <f t="shared" si="47"/>
        <v>Income EligibleElectricHP prior to CVEONo</v>
      </c>
      <c r="AD189" t="s">
        <v>27</v>
      </c>
      <c r="AE189" s="8"/>
      <c r="AF189" s="186">
        <f>INDEX(Annual!$V$9:$V$22,MATCH(AC189,Annual!$AD$9:$AD$22,0))-U189</f>
        <v>-3893.4857142857149</v>
      </c>
      <c r="AG189" s="187">
        <f>Y189-W189-INDEX(Annual!$X$9:$X$22,MATCH(AC189,Annual!$AD$9:$AD$22,0))</f>
        <v>0</v>
      </c>
      <c r="AH189" s="188"/>
      <c r="AI189" s="126"/>
    </row>
    <row r="190" spans="2:35" x14ac:dyDescent="0.25">
      <c r="B190" s="59" t="s">
        <v>117</v>
      </c>
      <c r="C190" s="99" t="s">
        <v>138</v>
      </c>
      <c r="D190" s="99" t="s">
        <v>721</v>
      </c>
      <c r="E190" s="99" t="s">
        <v>233</v>
      </c>
      <c r="F190" s="857" t="s">
        <v>176</v>
      </c>
      <c r="G190" s="215"/>
      <c r="H190" s="215"/>
      <c r="I190" s="216"/>
      <c r="J190" s="217"/>
      <c r="K190" s="218"/>
      <c r="L190" s="218"/>
      <c r="M190" s="219"/>
      <c r="N190" s="266"/>
      <c r="O190" s="611">
        <f t="shared" si="59"/>
        <v>1</v>
      </c>
      <c r="P190" s="220">
        <f t="shared" si="59"/>
        <v>5699.9999999999991</v>
      </c>
      <c r="Q190" s="611">
        <f t="shared" si="59"/>
        <v>0.99999999999999989</v>
      </c>
      <c r="R190" s="220">
        <f t="shared" si="59"/>
        <v>12407.999999999998</v>
      </c>
      <c r="S190" s="220">
        <f t="shared" si="59"/>
        <v>2348.2636320000001</v>
      </c>
      <c r="T190" s="611">
        <f t="shared" si="59"/>
        <v>1</v>
      </c>
      <c r="U190" s="221">
        <f t="shared" si="59"/>
        <v>3893.4857142857149</v>
      </c>
      <c r="V190" s="863">
        <f t="shared" si="60"/>
        <v>305.10000000000002</v>
      </c>
      <c r="W190" s="864">
        <f t="shared" si="58"/>
        <v>30.509999999999991</v>
      </c>
      <c r="X190" s="864">
        <f t="shared" si="58"/>
        <v>9623.9957142857147</v>
      </c>
      <c r="Y190" s="864">
        <f t="shared" si="58"/>
        <v>-2784.0042857142844</v>
      </c>
      <c r="Z190" s="864">
        <f t="shared" si="58"/>
        <v>115.56410249174941</v>
      </c>
      <c r="AA190" s="864">
        <f t="shared" si="58"/>
        <v>219.45326755542763</v>
      </c>
      <c r="AB190" s="865">
        <f t="shared" si="58"/>
        <v>358.16288769832579</v>
      </c>
      <c r="AC190" s="869" t="str">
        <f t="shared" si="47"/>
        <v>Income EligibleElectricHP prior to CVEOYes</v>
      </c>
      <c r="AD190" t="s">
        <v>27</v>
      </c>
      <c r="AE190" s="8"/>
      <c r="AF190" s="186">
        <f>INDEX(Annual!$V$9:$V$22,MATCH(AC190,Annual!$AD$9:$AD$22,0))-U190</f>
        <v>-3893.4857142857149</v>
      </c>
      <c r="AG190" s="187">
        <f>Y190-W190-INDEX(Annual!$X$9:$X$22,MATCH(AC190,Annual!$AD$9:$AD$22,0))</f>
        <v>-30.509999999999309</v>
      </c>
      <c r="AH190" s="188"/>
      <c r="AI190" s="126"/>
    </row>
    <row r="191" spans="2:35" x14ac:dyDescent="0.25">
      <c r="G191" s="162"/>
      <c r="H191" s="162"/>
      <c r="I191" s="129"/>
      <c r="J191" s="161"/>
      <c r="K191" s="139"/>
      <c r="L191" s="139"/>
      <c r="M191" s="139"/>
      <c r="N191" s="163"/>
      <c r="O191" s="134"/>
      <c r="P191" s="120"/>
      <c r="Q191" s="120"/>
      <c r="R191" s="164"/>
      <c r="S191" s="164"/>
      <c r="T191" s="165"/>
      <c r="U191" s="166"/>
      <c r="V191" s="166"/>
      <c r="W191" s="166"/>
      <c r="X191" s="120"/>
      <c r="Y191" s="120"/>
      <c r="Z191" s="20"/>
      <c r="AA191" s="20"/>
      <c r="AB191" s="20"/>
      <c r="AC191" s="147"/>
      <c r="AF191" s="126" t="s">
        <v>27</v>
      </c>
      <c r="AG191" s="126"/>
      <c r="AH191" s="126"/>
    </row>
    <row r="192" spans="2:35" x14ac:dyDescent="0.25">
      <c r="B192" s="7" t="s">
        <v>33</v>
      </c>
      <c r="U192" s="86"/>
      <c r="AF192" s="126" t="s">
        <v>720</v>
      </c>
      <c r="AG192" t="s">
        <v>27</v>
      </c>
    </row>
    <row r="193" spans="2:34" x14ac:dyDescent="0.25">
      <c r="B193" s="1120" t="s">
        <v>790</v>
      </c>
      <c r="C193" s="1079"/>
      <c r="D193" s="1079"/>
      <c r="E193" s="1079"/>
      <c r="F193" s="1079"/>
    </row>
    <row r="194" spans="2:34" x14ac:dyDescent="0.25">
      <c r="B194" s="1079"/>
      <c r="C194" s="1079"/>
      <c r="D194" s="1079"/>
      <c r="E194" s="1079"/>
      <c r="F194" s="1079"/>
    </row>
    <row r="195" spans="2:34" ht="15" customHeight="1" x14ac:dyDescent="0.25">
      <c r="B195" s="1120" t="s">
        <v>791</v>
      </c>
      <c r="C195" s="1079"/>
      <c r="D195" s="1079"/>
      <c r="E195" s="1079"/>
      <c r="F195" s="1079"/>
      <c r="G195" s="377"/>
      <c r="H195" s="377"/>
      <c r="I195" s="377"/>
      <c r="J195" s="377"/>
      <c r="K195" s="377"/>
      <c r="L195" s="377"/>
      <c r="M195" s="377"/>
      <c r="R195" s="22"/>
    </row>
    <row r="196" spans="2:34" ht="15" customHeight="1" x14ac:dyDescent="0.25">
      <c r="B196" s="1079"/>
      <c r="C196" s="1079"/>
      <c r="D196" s="1079"/>
      <c r="E196" s="1079"/>
      <c r="F196" s="1079"/>
      <c r="G196" s="377"/>
      <c r="H196" s="377"/>
      <c r="I196" s="377"/>
      <c r="J196" s="377"/>
      <c r="K196" s="377"/>
      <c r="L196" s="377"/>
      <c r="M196" s="377"/>
      <c r="R196" s="22"/>
    </row>
    <row r="197" spans="2:34" ht="15" customHeight="1" x14ac:dyDescent="0.25">
      <c r="B197" s="1079"/>
      <c r="C197" s="1079"/>
      <c r="D197" s="1079"/>
      <c r="E197" s="1079"/>
      <c r="F197" s="1079"/>
      <c r="G197" s="377"/>
      <c r="H197" s="377"/>
      <c r="I197" s="377"/>
      <c r="J197" s="377"/>
      <c r="K197" s="377"/>
      <c r="L197" s="377"/>
      <c r="M197" s="377"/>
      <c r="R197" s="22"/>
    </row>
    <row r="198" spans="2:34" x14ac:dyDescent="0.25">
      <c r="B198" s="1079"/>
      <c r="C198" s="1079"/>
      <c r="D198" s="1079"/>
      <c r="E198" s="1079"/>
      <c r="F198" s="1079"/>
      <c r="G198" s="377"/>
      <c r="H198" s="377"/>
      <c r="I198" s="377"/>
      <c r="J198" s="377"/>
      <c r="K198" s="377"/>
      <c r="L198" s="377"/>
      <c r="M198" s="377"/>
      <c r="R198" s="22"/>
    </row>
    <row r="199" spans="2:34" x14ac:dyDescent="0.25">
      <c r="B199" s="262" t="s">
        <v>177</v>
      </c>
      <c r="R199" s="22"/>
      <c r="W199" s="117"/>
      <c r="X199" s="117"/>
      <c r="Z199" s="22"/>
    </row>
    <row r="200" spans="2:34" ht="15" customHeight="1" x14ac:dyDescent="0.25">
      <c r="B200" s="1121" t="s">
        <v>792</v>
      </c>
      <c r="C200" s="1087"/>
      <c r="D200" s="1087"/>
      <c r="E200" s="1087"/>
      <c r="F200" s="1087"/>
      <c r="G200" s="609"/>
      <c r="H200" s="609"/>
      <c r="I200" s="609"/>
      <c r="J200" s="609"/>
      <c r="K200" s="609"/>
      <c r="L200" s="609"/>
      <c r="M200" s="609"/>
      <c r="R200" s="22"/>
    </row>
    <row r="201" spans="2:34" ht="15" customHeight="1" x14ac:dyDescent="0.25">
      <c r="B201" s="1087"/>
      <c r="C201" s="1087"/>
      <c r="D201" s="1087"/>
      <c r="E201" s="1087"/>
      <c r="F201" s="1087"/>
      <c r="G201" s="609"/>
      <c r="H201" s="609"/>
      <c r="I201" s="609"/>
      <c r="J201" s="609"/>
      <c r="K201" s="609"/>
      <c r="L201" s="609"/>
      <c r="M201" s="609"/>
      <c r="R201" s="22"/>
    </row>
    <row r="202" spans="2:34" x14ac:dyDescent="0.25">
      <c r="B202" s="1087"/>
      <c r="C202" s="1087"/>
      <c r="D202" s="1087"/>
      <c r="E202" s="1087"/>
      <c r="F202" s="1087"/>
      <c r="G202" s="609"/>
      <c r="H202" s="609"/>
      <c r="I202" s="609"/>
      <c r="J202" s="609"/>
      <c r="K202" s="609"/>
      <c r="L202" s="609"/>
      <c r="M202" s="609"/>
      <c r="R202" s="22"/>
    </row>
    <row r="203" spans="2:34" x14ac:dyDescent="0.25">
      <c r="B203" s="630" t="s">
        <v>793</v>
      </c>
      <c r="I203" t="s">
        <v>27</v>
      </c>
      <c r="R203" s="22"/>
      <c r="V203" t="s">
        <v>27</v>
      </c>
    </row>
    <row r="204" spans="2:34" x14ac:dyDescent="0.25">
      <c r="B204" s="6"/>
      <c r="R204" s="22"/>
    </row>
    <row r="205" spans="2:34" x14ac:dyDescent="0.25">
      <c r="B205" s="104" t="s">
        <v>179</v>
      </c>
      <c r="C205" s="151"/>
      <c r="D205" s="151"/>
      <c r="E205" s="151"/>
      <c r="F205" s="148"/>
      <c r="N205" s="148"/>
      <c r="O205" s="137"/>
      <c r="P205" s="138"/>
      <c r="Q205" s="138"/>
      <c r="R205" s="22"/>
      <c r="S205" s="135"/>
      <c r="T205" s="136"/>
      <c r="U205" s="132"/>
      <c r="V205" s="132"/>
      <c r="W205" s="132"/>
      <c r="X205" s="132"/>
      <c r="Y205" s="132"/>
      <c r="Z205" s="104" t="s">
        <v>180</v>
      </c>
      <c r="AA205" s="104"/>
      <c r="AB205" s="104"/>
      <c r="AC205" s="148"/>
      <c r="AF205" s="186"/>
      <c r="AG205" s="186"/>
      <c r="AH205" s="186"/>
    </row>
    <row r="206" spans="2:34" x14ac:dyDescent="0.25">
      <c r="C206" s="152"/>
      <c r="D206" s="152"/>
      <c r="E206" s="152"/>
      <c r="F206" s="149"/>
      <c r="G206" s="4"/>
      <c r="H206" s="4"/>
      <c r="I206" s="4"/>
      <c r="J206" s="4" t="s">
        <v>27</v>
      </c>
      <c r="K206" s="4" t="s">
        <v>27</v>
      </c>
      <c r="L206" s="4"/>
      <c r="M206" s="4"/>
      <c r="N206" s="153"/>
      <c r="O206" s="137">
        <f>ROUND(SUM(O8:O175)/COUNTIF(F8:F175,"December")-1,9)</f>
        <v>0</v>
      </c>
      <c r="P206" s="138">
        <f>ROUND((SUMIF(B8:B175,"Income Eligible",P8:P175)/COUNTIFS(F8:F175,"December",B8:B175,"Income Eligible"))-Inputs!$E$105,9)</f>
        <v>0</v>
      </c>
      <c r="Q206" s="138"/>
      <c r="R206" s="22"/>
      <c r="S206" s="137"/>
      <c r="T206" s="136"/>
      <c r="U206" s="132"/>
      <c r="V206" s="132"/>
      <c r="W206" s="132"/>
      <c r="X206" s="132"/>
      <c r="Y206" s="172">
        <f>SUM(Y177:Y190)-(SUM(X177:X190)-SUM(R177:R190))</f>
        <v>0</v>
      </c>
      <c r="Z206" s="104" t="s">
        <v>181</v>
      </c>
      <c r="AA206" s="104"/>
      <c r="AB206" s="104"/>
      <c r="AC206" s="149"/>
    </row>
    <row r="207" spans="2:34" x14ac:dyDescent="0.25">
      <c r="C207" s="152"/>
      <c r="D207" s="152"/>
      <c r="E207" s="152"/>
      <c r="G207" s="133"/>
      <c r="H207" s="133"/>
      <c r="I207" s="133"/>
      <c r="J207" s="154"/>
      <c r="K207" s="133"/>
      <c r="L207" s="133"/>
      <c r="M207" s="133" t="s">
        <v>27</v>
      </c>
      <c r="P207" s="138"/>
      <c r="Q207" s="138"/>
      <c r="R207" s="22"/>
      <c r="S207" s="4"/>
      <c r="T207" s="132" t="s">
        <v>27</v>
      </c>
      <c r="U207" s="132" t="s">
        <v>27</v>
      </c>
      <c r="V207" s="132"/>
      <c r="W207" s="132"/>
      <c r="Y207" s="4"/>
      <c r="Z207" t="s">
        <v>27</v>
      </c>
      <c r="AF207" s="126" t="s">
        <v>27</v>
      </c>
    </row>
    <row r="208" spans="2:34" ht="18.75" x14ac:dyDescent="0.25">
      <c r="B208" s="150"/>
      <c r="R208" s="22"/>
      <c r="U208" t="s">
        <v>27</v>
      </c>
    </row>
    <row r="209" spans="2:18" ht="18.75" x14ac:dyDescent="0.25">
      <c r="B209" s="150"/>
      <c r="R209" s="22"/>
    </row>
    <row r="210" spans="2:18" ht="18.75" x14ac:dyDescent="0.25">
      <c r="B210" s="150"/>
      <c r="R210" s="22"/>
    </row>
    <row r="211" spans="2:18" ht="18.75" x14ac:dyDescent="0.25">
      <c r="B211" s="150"/>
      <c r="R211" s="22"/>
    </row>
    <row r="212" spans="2:18" ht="18.75" x14ac:dyDescent="0.25">
      <c r="B212" s="150"/>
    </row>
    <row r="213" spans="2:18" ht="18.75" x14ac:dyDescent="0.25">
      <c r="B213" s="150"/>
    </row>
    <row r="214" spans="2:18" ht="18.75" x14ac:dyDescent="0.25">
      <c r="B214" s="150"/>
    </row>
    <row r="215" spans="2:18" ht="18.75" x14ac:dyDescent="0.25">
      <c r="B215" s="150"/>
    </row>
    <row r="216" spans="2:18" ht="18.75" x14ac:dyDescent="0.25">
      <c r="B216" s="150"/>
    </row>
    <row r="217" spans="2:18" ht="18.75" x14ac:dyDescent="0.25">
      <c r="B217" s="150"/>
    </row>
    <row r="218" spans="2:18" ht="18.75" x14ac:dyDescent="0.25">
      <c r="B218" s="150"/>
    </row>
    <row r="219" spans="2:18" ht="18.75" x14ac:dyDescent="0.25">
      <c r="B219" s="150"/>
    </row>
    <row r="220" spans="2:18" ht="18.75" x14ac:dyDescent="0.25">
      <c r="B220" s="150"/>
    </row>
    <row r="221" spans="2:18" ht="18.75" x14ac:dyDescent="0.25">
      <c r="B221" s="150"/>
    </row>
    <row r="222" spans="2:18" ht="18.75" x14ac:dyDescent="0.25">
      <c r="B222" s="150"/>
    </row>
    <row r="223" spans="2:18" ht="18.75" x14ac:dyDescent="0.25">
      <c r="B223" s="150"/>
    </row>
    <row r="224" spans="2:18" ht="18.75" x14ac:dyDescent="0.25">
      <c r="B224" s="150"/>
    </row>
    <row r="225" spans="2:2" ht="18.75" x14ac:dyDescent="0.25">
      <c r="B225" s="150"/>
    </row>
  </sheetData>
  <autoFilter ref="B7:AJ190" xr:uid="{BA2CA682-E0DF-40DA-93FF-C20D435CF65A}"/>
  <mergeCells count="7">
    <mergeCell ref="V5:AB5"/>
    <mergeCell ref="G5:M5"/>
    <mergeCell ref="N5:U5"/>
    <mergeCell ref="C6:C7"/>
    <mergeCell ref="B193:F194"/>
    <mergeCell ref="B195:F198"/>
    <mergeCell ref="B200:F202"/>
  </mergeCells>
  <phoneticPr fontId="44" type="noConversion"/>
  <hyperlinks>
    <hyperlink ref="B199" r:id="rId1" xr:uid="{9816038A-38DF-42C1-814A-0D92EA690249}"/>
  </hyperlinks>
  <pageMargins left="0.7" right="0.7" top="0.75" bottom="0.75" header="0.3" footer="0.3"/>
  <pageSetup scale="42" orientation="landscape" r:id="rId2"/>
  <colBreaks count="2" manualBreakCount="2">
    <brk id="13" min="1" max="209" man="1"/>
    <brk id="21" min="1" max="20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BC22-4E10-4167-8DD3-1805F6D3A483}">
  <sheetPr codeName="Sheet7">
    <tabColor theme="4" tint="0.59999389629810485"/>
  </sheetPr>
  <dimension ref="B1:N47"/>
  <sheetViews>
    <sheetView showGridLines="0" zoomScale="85" zoomScaleNormal="85" workbookViewId="0"/>
  </sheetViews>
  <sheetFormatPr defaultColWidth="9.140625" defaultRowHeight="15" x14ac:dyDescent="0.25"/>
  <cols>
    <col min="1" max="1" width="2.7109375" customWidth="1"/>
    <col min="2" max="2" width="48.5703125" customWidth="1"/>
    <col min="3" max="7" width="17.140625" customWidth="1"/>
    <col min="8" max="8" width="2.7109375" customWidth="1"/>
    <col min="9" max="9" width="11.85546875" bestFit="1" customWidth="1"/>
    <col min="10" max="10" width="12.7109375" bestFit="1" customWidth="1"/>
    <col min="11" max="14" width="2.7109375" customWidth="1"/>
  </cols>
  <sheetData>
    <row r="1" spans="2:14" x14ac:dyDescent="0.25">
      <c r="C1" s="4"/>
      <c r="F1" s="4"/>
    </row>
    <row r="2" spans="2:14" ht="21" x14ac:dyDescent="0.35">
      <c r="B2" s="261" t="s">
        <v>0</v>
      </c>
      <c r="D2" s="4"/>
    </row>
    <row r="3" spans="2:14" ht="21" x14ac:dyDescent="0.35">
      <c r="B3" s="203" t="s">
        <v>323</v>
      </c>
      <c r="C3" s="4"/>
      <c r="E3" s="48"/>
      <c r="F3" s="48"/>
    </row>
    <row r="4" spans="2:14" ht="15.75" x14ac:dyDescent="0.25">
      <c r="B4" s="49"/>
      <c r="C4" s="4"/>
      <c r="D4" s="4"/>
      <c r="E4" s="4"/>
      <c r="F4" s="4"/>
      <c r="G4" s="4"/>
    </row>
    <row r="5" spans="2:14" ht="45" x14ac:dyDescent="0.25">
      <c r="B5" s="274" t="s">
        <v>514</v>
      </c>
      <c r="C5" s="274" t="s">
        <v>80</v>
      </c>
      <c r="D5" s="274" t="s">
        <v>356</v>
      </c>
      <c r="E5" s="274" t="s">
        <v>79</v>
      </c>
      <c r="F5" s="274" t="s">
        <v>81</v>
      </c>
      <c r="G5" s="274" t="s">
        <v>119</v>
      </c>
      <c r="I5" s="274" t="s">
        <v>126</v>
      </c>
      <c r="J5" s="274" t="s">
        <v>701</v>
      </c>
    </row>
    <row r="6" spans="2:14" x14ac:dyDescent="0.25">
      <c r="B6" s="510" t="s">
        <v>182</v>
      </c>
      <c r="C6" s="511">
        <f>SUM(C7,C12)</f>
        <v>0</v>
      </c>
      <c r="D6" s="511">
        <f t="shared" ref="D6:F6" si="0">SUM(D7,D12)</f>
        <v>1441654.89</v>
      </c>
      <c r="E6" s="511">
        <f t="shared" si="0"/>
        <v>216385.71999999997</v>
      </c>
      <c r="F6" s="511">
        <f t="shared" si="0"/>
        <v>238762.04200000002</v>
      </c>
      <c r="G6" s="511">
        <f>SUM(C6:F6)</f>
        <v>1896802.6519999998</v>
      </c>
      <c r="I6" s="511">
        <f t="shared" ref="I6" si="1">SUM(I7,I12)</f>
        <v>16</v>
      </c>
      <c r="J6" s="511">
        <f>IFERROR(D6/I6,)</f>
        <v>90103.430624999994</v>
      </c>
      <c r="K6" s="385"/>
      <c r="L6" s="385"/>
      <c r="M6" s="385"/>
      <c r="N6" s="385"/>
    </row>
    <row r="7" spans="2:14" ht="15" customHeight="1" x14ac:dyDescent="0.25">
      <c r="B7" s="348" t="s">
        <v>736</v>
      </c>
      <c r="C7" s="349">
        <f>Inputs!E86</f>
        <v>0</v>
      </c>
      <c r="D7" s="349">
        <f>SUM(D8:D11)</f>
        <v>1441654.89</v>
      </c>
      <c r="E7" s="349">
        <f>SUM(E8:E11)</f>
        <v>216385.71999999997</v>
      </c>
      <c r="F7" s="349"/>
      <c r="G7" s="349">
        <f t="shared" ref="G7:G20" si="2">SUM(C7:F7)</f>
        <v>1658040.6099999999</v>
      </c>
      <c r="I7" s="349">
        <f>I9</f>
        <v>16</v>
      </c>
      <c r="J7" s="349">
        <f t="shared" ref="J7:J25" si="3">IFERROR(D7/I7,)</f>
        <v>90103.430624999994</v>
      </c>
      <c r="K7" s="22"/>
      <c r="L7" s="22"/>
      <c r="M7" s="22"/>
      <c r="N7" s="22"/>
    </row>
    <row r="8" spans="2:14" ht="15" customHeight="1" x14ac:dyDescent="0.25">
      <c r="B8" s="350" t="s">
        <v>30</v>
      </c>
      <c r="C8" s="64"/>
      <c r="D8" s="885">
        <v>842531.4</v>
      </c>
      <c r="E8" s="64">
        <f>Inputs!E75</f>
        <v>126988.69999999998</v>
      </c>
      <c r="F8" s="64"/>
      <c r="G8" s="64">
        <f t="shared" si="2"/>
        <v>969520.1</v>
      </c>
      <c r="I8" s="64">
        <f>Inputs!E56</f>
        <v>15</v>
      </c>
      <c r="J8" s="64">
        <f t="shared" si="3"/>
        <v>56168.76</v>
      </c>
    </row>
    <row r="9" spans="2:14" x14ac:dyDescent="0.25">
      <c r="B9" s="350" t="s">
        <v>31</v>
      </c>
      <c r="C9" s="64"/>
      <c r="D9" s="885">
        <v>497724</v>
      </c>
      <c r="E9" s="64">
        <f>Inputs!E78</f>
        <v>74658.62</v>
      </c>
      <c r="F9" s="64"/>
      <c r="G9" s="64">
        <f t="shared" si="2"/>
        <v>572382.62</v>
      </c>
      <c r="I9" s="64">
        <f>Inputs!E14</f>
        <v>16</v>
      </c>
      <c r="J9" s="64">
        <f t="shared" si="3"/>
        <v>31107.75</v>
      </c>
    </row>
    <row r="10" spans="2:14" x14ac:dyDescent="0.25">
      <c r="B10" s="350" t="s">
        <v>32</v>
      </c>
      <c r="C10" s="64"/>
      <c r="D10" s="885">
        <v>98256</v>
      </c>
      <c r="E10" s="64">
        <f>Inputs!E82</f>
        <v>14738.4</v>
      </c>
      <c r="F10" s="64"/>
      <c r="G10" s="64">
        <f t="shared" si="2"/>
        <v>112994.4</v>
      </c>
      <c r="I10" s="64">
        <f>Inputs!E32</f>
        <v>3</v>
      </c>
      <c r="J10" s="64">
        <f t="shared" si="3"/>
        <v>32752</v>
      </c>
    </row>
    <row r="11" spans="2:14" x14ac:dyDescent="0.25">
      <c r="B11" s="350" t="s">
        <v>355</v>
      </c>
      <c r="C11" s="64"/>
      <c r="D11" s="885">
        <v>3143.49</v>
      </c>
      <c r="E11" s="64"/>
      <c r="F11" s="64"/>
      <c r="G11" s="64">
        <f t="shared" si="2"/>
        <v>3143.49</v>
      </c>
      <c r="I11" s="64">
        <f>Inputs!E64</f>
        <v>3</v>
      </c>
      <c r="J11" s="64">
        <f t="shared" si="3"/>
        <v>1047.83</v>
      </c>
    </row>
    <row r="12" spans="2:14" x14ac:dyDescent="0.25">
      <c r="B12" s="348" t="s">
        <v>516</v>
      </c>
      <c r="C12" s="349"/>
      <c r="D12" s="349"/>
      <c r="E12" s="349"/>
      <c r="F12" s="349">
        <f>Inputs!E90</f>
        <v>238762.04200000002</v>
      </c>
      <c r="G12" s="349"/>
      <c r="I12" s="349"/>
      <c r="J12" s="349">
        <f t="shared" si="3"/>
        <v>0</v>
      </c>
    </row>
    <row r="13" spans="2:14" ht="15" customHeight="1" x14ac:dyDescent="0.25">
      <c r="B13" s="510" t="s">
        <v>515</v>
      </c>
      <c r="C13" s="511">
        <f>SUM(C14,C19,C24)</f>
        <v>0</v>
      </c>
      <c r="D13" s="511">
        <f t="shared" ref="D13" si="4">SUM(D14,D19,D24)</f>
        <v>2644375.25</v>
      </c>
      <c r="E13" s="511">
        <f t="shared" ref="E13:F13" si="5">SUM(E14,E19,E24)</f>
        <v>411886.81000000006</v>
      </c>
      <c r="F13" s="511">
        <f t="shared" si="5"/>
        <v>61066.058000000005</v>
      </c>
      <c r="G13" s="511">
        <f>SUM(C13:F13)</f>
        <v>3117328.1180000002</v>
      </c>
      <c r="I13" s="511">
        <f t="shared" ref="I13" si="6">SUM(I14,I19,I24)</f>
        <v>39</v>
      </c>
      <c r="J13" s="511">
        <f t="shared" si="3"/>
        <v>67804.493589743593</v>
      </c>
      <c r="K13" s="385"/>
      <c r="L13" s="385"/>
      <c r="M13" s="385"/>
      <c r="N13" s="385"/>
    </row>
    <row r="14" spans="2:14" x14ac:dyDescent="0.25">
      <c r="B14" s="348" t="s">
        <v>559</v>
      </c>
      <c r="C14" s="349">
        <f>Inputs!E87</f>
        <v>0</v>
      </c>
      <c r="D14" s="349">
        <f>SUM(D15:D18)</f>
        <v>263549.03999999998</v>
      </c>
      <c r="E14" s="349">
        <f>SUM(E15:E18)</f>
        <v>51849.775000000001</v>
      </c>
      <c r="F14" s="349"/>
      <c r="G14" s="349">
        <f>SUM(C14:F14)</f>
        <v>315398.815</v>
      </c>
      <c r="I14" s="349">
        <f>I16</f>
        <v>8</v>
      </c>
      <c r="J14" s="349">
        <f t="shared" si="3"/>
        <v>32943.629999999997</v>
      </c>
      <c r="K14" s="22"/>
      <c r="L14" s="22"/>
      <c r="M14" s="22"/>
      <c r="N14" s="22"/>
    </row>
    <row r="15" spans="2:14" x14ac:dyDescent="0.25">
      <c r="B15" s="350" t="s">
        <v>30</v>
      </c>
      <c r="C15" s="64"/>
      <c r="D15" s="885">
        <v>98000</v>
      </c>
      <c r="E15" s="64">
        <f>Inputs!E76</f>
        <v>15525</v>
      </c>
      <c r="F15" s="64"/>
      <c r="G15" s="64">
        <f>SUM(C15:F15)</f>
        <v>113525</v>
      </c>
      <c r="I15" s="64">
        <f>Inputs!E57</f>
        <v>2</v>
      </c>
      <c r="J15" s="64">
        <f t="shared" si="3"/>
        <v>49000</v>
      </c>
    </row>
    <row r="16" spans="2:14" x14ac:dyDescent="0.25">
      <c r="B16" s="350" t="s">
        <v>31</v>
      </c>
      <c r="C16" s="64"/>
      <c r="D16" s="885">
        <v>136250</v>
      </c>
      <c r="E16" s="64">
        <f>Inputs!E79</f>
        <v>36114.775000000001</v>
      </c>
      <c r="F16" s="64"/>
      <c r="G16" s="64">
        <f t="shared" ref="G16" si="7">SUM(C16:F16)</f>
        <v>172364.77499999999</v>
      </c>
      <c r="I16" s="64">
        <f>Inputs!E15</f>
        <v>8</v>
      </c>
      <c r="J16" s="64">
        <f t="shared" si="3"/>
        <v>17031.25</v>
      </c>
    </row>
    <row r="17" spans="2:14" x14ac:dyDescent="0.25">
      <c r="B17" s="350" t="s">
        <v>183</v>
      </c>
      <c r="C17" s="64"/>
      <c r="D17" s="885">
        <v>28141.54</v>
      </c>
      <c r="E17" s="64">
        <f>Inputs!E81</f>
        <v>210</v>
      </c>
      <c r="F17" s="64"/>
      <c r="G17" s="64">
        <f t="shared" ref="G17:G19" si="8">SUM(C17:F17)</f>
        <v>28351.54</v>
      </c>
      <c r="I17" s="64">
        <f>Inputs!E70</f>
        <v>6</v>
      </c>
      <c r="J17" s="64">
        <f t="shared" si="3"/>
        <v>4690.2566666666671</v>
      </c>
    </row>
    <row r="18" spans="2:14" x14ac:dyDescent="0.25">
      <c r="B18" s="350" t="s">
        <v>355</v>
      </c>
      <c r="C18" s="64"/>
      <c r="D18" s="885">
        <v>1157.5</v>
      </c>
      <c r="E18" s="64"/>
      <c r="F18" s="64"/>
      <c r="G18" s="64">
        <f t="shared" si="8"/>
        <v>1157.5</v>
      </c>
      <c r="I18" s="64">
        <f>Inputs!E65</f>
        <v>1</v>
      </c>
      <c r="J18" s="64">
        <f t="shared" si="3"/>
        <v>1157.5</v>
      </c>
    </row>
    <row r="19" spans="2:14" ht="15" customHeight="1" x14ac:dyDescent="0.25">
      <c r="B19" s="348" t="s">
        <v>384</v>
      </c>
      <c r="C19" s="349">
        <f>Inputs!E88</f>
        <v>0</v>
      </c>
      <c r="D19" s="349">
        <f>SUM(D20:D23)</f>
        <v>2380826.21</v>
      </c>
      <c r="E19" s="349">
        <f>SUM(E20:E23)</f>
        <v>360037.03500000003</v>
      </c>
      <c r="F19" s="349"/>
      <c r="G19" s="349">
        <f t="shared" si="8"/>
        <v>2740863.2450000001</v>
      </c>
      <c r="I19" s="349">
        <f>I21</f>
        <v>31</v>
      </c>
      <c r="J19" s="349">
        <f t="shared" si="3"/>
        <v>76800.845483870973</v>
      </c>
      <c r="K19" s="22"/>
      <c r="L19" s="22"/>
      <c r="M19" s="22"/>
      <c r="N19" s="22"/>
    </row>
    <row r="20" spans="2:14" ht="15" customHeight="1" x14ac:dyDescent="0.25">
      <c r="B20" s="350" t="s">
        <v>30</v>
      </c>
      <c r="C20" s="64"/>
      <c r="D20" s="885">
        <v>1109848.8099999998</v>
      </c>
      <c r="E20" s="64">
        <f>Inputs!E77</f>
        <v>170464.23499999999</v>
      </c>
      <c r="F20" s="64"/>
      <c r="G20" s="64">
        <f t="shared" si="2"/>
        <v>1280313.0449999999</v>
      </c>
      <c r="I20" s="64">
        <f>Inputs!E58</f>
        <v>28</v>
      </c>
      <c r="J20" s="64">
        <f t="shared" si="3"/>
        <v>39637.457499999997</v>
      </c>
    </row>
    <row r="21" spans="2:14" x14ac:dyDescent="0.25">
      <c r="B21" s="350" t="s">
        <v>31</v>
      </c>
      <c r="C21" s="64"/>
      <c r="D21" s="885">
        <v>966900</v>
      </c>
      <c r="E21" s="64">
        <f>Inputs!E80</f>
        <v>145035.08500000002</v>
      </c>
      <c r="F21" s="64"/>
      <c r="G21" s="64">
        <f t="shared" ref="G21:G23" si="9">SUM(C21:F21)</f>
        <v>1111935.085</v>
      </c>
      <c r="I21" s="64">
        <f>Inputs!E16</f>
        <v>31</v>
      </c>
      <c r="J21" s="64">
        <f t="shared" si="3"/>
        <v>31190.322580645163</v>
      </c>
    </row>
    <row r="22" spans="2:14" x14ac:dyDescent="0.25">
      <c r="B22" s="350" t="s">
        <v>32</v>
      </c>
      <c r="C22" s="64"/>
      <c r="D22" s="885">
        <v>299498.40000000002</v>
      </c>
      <c r="E22" s="64">
        <f>Inputs!E83</f>
        <v>44537.715000000004</v>
      </c>
      <c r="F22" s="64"/>
      <c r="G22" s="64">
        <f t="shared" si="9"/>
        <v>344036.11500000005</v>
      </c>
      <c r="I22" s="64">
        <f>Inputs!E34</f>
        <v>9</v>
      </c>
      <c r="J22" s="64">
        <f t="shared" si="3"/>
        <v>33277.600000000006</v>
      </c>
    </row>
    <row r="23" spans="2:14" x14ac:dyDescent="0.25">
      <c r="B23" s="350" t="s">
        <v>355</v>
      </c>
      <c r="C23" s="64"/>
      <c r="D23" s="885">
        <v>4579</v>
      </c>
      <c r="E23" s="64"/>
      <c r="F23" s="64"/>
      <c r="G23" s="64">
        <f t="shared" si="9"/>
        <v>4579</v>
      </c>
      <c r="I23" s="64">
        <f>Inputs!E66</f>
        <v>4</v>
      </c>
      <c r="J23" s="64">
        <f t="shared" si="3"/>
        <v>1144.75</v>
      </c>
    </row>
    <row r="24" spans="2:14" x14ac:dyDescent="0.25">
      <c r="B24" s="348" t="s">
        <v>517</v>
      </c>
      <c r="C24" s="349"/>
      <c r="D24" s="349"/>
      <c r="E24" s="349"/>
      <c r="F24" s="349">
        <f>Inputs!E91</f>
        <v>61066.058000000005</v>
      </c>
      <c r="G24" s="349"/>
      <c r="I24" s="349"/>
      <c r="J24" s="349">
        <f t="shared" si="3"/>
        <v>0</v>
      </c>
    </row>
    <row r="25" spans="2:14" x14ac:dyDescent="0.25">
      <c r="B25" s="510" t="s">
        <v>124</v>
      </c>
      <c r="C25" s="511">
        <f>SUM(C6,C13)</f>
        <v>0</v>
      </c>
      <c r="D25" s="511">
        <f>SUM(D6,D13)</f>
        <v>4086030.1399999997</v>
      </c>
      <c r="E25" s="511">
        <f>SUM(E6,E13)</f>
        <v>628272.53</v>
      </c>
      <c r="F25" s="511">
        <f>SUM(F6,F13)</f>
        <v>299828.10000000003</v>
      </c>
      <c r="G25" s="511">
        <f>SUM(G6,G13)</f>
        <v>5014130.7699999996</v>
      </c>
      <c r="I25" s="511">
        <f>SUM(I6,I13)</f>
        <v>55</v>
      </c>
      <c r="J25" s="511">
        <f t="shared" si="3"/>
        <v>74291.457090909083</v>
      </c>
    </row>
    <row r="28" spans="2:14" x14ac:dyDescent="0.25">
      <c r="B28" s="626" t="s">
        <v>30</v>
      </c>
      <c r="C28" s="627">
        <f>SUM(C8,C15,C20)</f>
        <v>0</v>
      </c>
      <c r="D28" s="627">
        <f>SUM(D8,D15,D20)</f>
        <v>2050380.21</v>
      </c>
      <c r="E28" s="627">
        <f t="shared" ref="E28:G28" si="10">SUM(E8,E15,E20)</f>
        <v>312977.93499999994</v>
      </c>
      <c r="F28" s="627">
        <f t="shared" si="10"/>
        <v>0</v>
      </c>
      <c r="G28" s="627">
        <f t="shared" si="10"/>
        <v>2363358.145</v>
      </c>
    </row>
    <row r="29" spans="2:14" x14ac:dyDescent="0.25">
      <c r="B29" s="626" t="s">
        <v>31</v>
      </c>
      <c r="C29" s="627">
        <f>SUM(C9,C16,C21)</f>
        <v>0</v>
      </c>
      <c r="D29" s="627">
        <f t="shared" ref="D29" si="11">SUM(D9,D16,D21)</f>
        <v>1600874</v>
      </c>
      <c r="E29" s="627">
        <f t="shared" ref="E29:G29" si="12">SUM(E9,E16,E21)</f>
        <v>255808.48</v>
      </c>
      <c r="F29" s="627">
        <f t="shared" si="12"/>
        <v>0</v>
      </c>
      <c r="G29" s="627">
        <f t="shared" si="12"/>
        <v>1856682.48</v>
      </c>
    </row>
    <row r="30" spans="2:14" x14ac:dyDescent="0.25">
      <c r="B30" s="626" t="s">
        <v>32</v>
      </c>
      <c r="C30" s="627">
        <f>SUM(C10,C22)</f>
        <v>0</v>
      </c>
      <c r="D30" s="627">
        <f>SUM(D10,D22)</f>
        <v>397754.4</v>
      </c>
      <c r="E30" s="627">
        <f>SUM(E10,E22)</f>
        <v>59276.115000000005</v>
      </c>
      <c r="F30" s="627">
        <f t="shared" ref="F30:G30" si="13">SUM(F10,F22)</f>
        <v>0</v>
      </c>
      <c r="G30" s="627">
        <f t="shared" si="13"/>
        <v>457030.51500000001</v>
      </c>
    </row>
    <row r="31" spans="2:14" x14ac:dyDescent="0.25">
      <c r="B31" s="626" t="s">
        <v>355</v>
      </c>
      <c r="C31" s="627">
        <f>SUM(C11,C18,C23)</f>
        <v>0</v>
      </c>
      <c r="D31" s="627">
        <f t="shared" ref="D31" si="14">SUM(D11,D18,D23)</f>
        <v>8879.99</v>
      </c>
      <c r="E31" s="627">
        <f t="shared" ref="E31:G31" si="15">SUM(E11,E18,E23)</f>
        <v>0</v>
      </c>
      <c r="F31" s="627">
        <f t="shared" si="15"/>
        <v>0</v>
      </c>
      <c r="G31" s="627">
        <f t="shared" si="15"/>
        <v>8879.99</v>
      </c>
    </row>
    <row r="32" spans="2:14" x14ac:dyDescent="0.25">
      <c r="B32" s="626" t="s">
        <v>176</v>
      </c>
      <c r="C32" s="627">
        <f>SUM(C28:C31)</f>
        <v>0</v>
      </c>
      <c r="D32" s="627">
        <f>SUM(D28:D31)</f>
        <v>4057888.6</v>
      </c>
      <c r="E32" s="627">
        <f t="shared" ref="E32:G32" si="16">SUM(E28:E31)</f>
        <v>628062.52999999991</v>
      </c>
      <c r="F32" s="627">
        <f t="shared" si="16"/>
        <v>0</v>
      </c>
      <c r="G32" s="627">
        <f t="shared" si="16"/>
        <v>4685951.13</v>
      </c>
    </row>
    <row r="33" spans="2:9" x14ac:dyDescent="0.25">
      <c r="G33" s="22"/>
    </row>
    <row r="35" spans="2:9" x14ac:dyDescent="0.25">
      <c r="B35" s="126" t="s">
        <v>184</v>
      </c>
      <c r="C35" s="126"/>
      <c r="D35" s="126"/>
      <c r="E35" s="126"/>
      <c r="F35" s="126"/>
      <c r="G35" s="126"/>
    </row>
    <row r="36" spans="2:9" x14ac:dyDescent="0.25">
      <c r="B36" s="168" t="s">
        <v>185</v>
      </c>
      <c r="C36" s="169"/>
      <c r="D36" s="169"/>
      <c r="E36" s="169"/>
      <c r="F36" s="169"/>
      <c r="G36" s="195"/>
    </row>
    <row r="37" spans="2:9" ht="45" x14ac:dyDescent="0.25">
      <c r="B37" s="434"/>
      <c r="C37" s="435" t="s">
        <v>182</v>
      </c>
      <c r="D37" s="435" t="s">
        <v>182</v>
      </c>
      <c r="E37" s="436" t="s">
        <v>424</v>
      </c>
      <c r="F37" s="436" t="s">
        <v>425</v>
      </c>
      <c r="G37" s="437" t="s">
        <v>176</v>
      </c>
    </row>
    <row r="38" spans="2:9" x14ac:dyDescent="0.25">
      <c r="B38" s="170" t="s">
        <v>186</v>
      </c>
      <c r="C38" s="186"/>
      <c r="D38" s="186">
        <f>D8</f>
        <v>842531.4</v>
      </c>
      <c r="E38" s="186">
        <f>D15</f>
        <v>98000</v>
      </c>
      <c r="F38" s="186">
        <f>D20</f>
        <v>1109848.8099999998</v>
      </c>
      <c r="G38" s="194">
        <f>SUM(C38:F38)</f>
        <v>2050380.21</v>
      </c>
    </row>
    <row r="39" spans="2:9" x14ac:dyDescent="0.25">
      <c r="B39" s="170" t="s">
        <v>187</v>
      </c>
      <c r="C39" s="186"/>
      <c r="D39" s="186">
        <f>D9</f>
        <v>497724</v>
      </c>
      <c r="E39" s="186">
        <f>D16</f>
        <v>136250</v>
      </c>
      <c r="F39" s="186">
        <f t="shared" ref="F39:F40" si="17">D21</f>
        <v>966900</v>
      </c>
      <c r="G39" s="194">
        <f t="shared" ref="G39:G46" si="18">SUM(C39:F39)</f>
        <v>1600874</v>
      </c>
    </row>
    <row r="40" spans="2:9" x14ac:dyDescent="0.25">
      <c r="B40" s="170" t="s">
        <v>188</v>
      </c>
      <c r="C40" s="186"/>
      <c r="D40" s="186">
        <f>D10</f>
        <v>98256</v>
      </c>
      <c r="E40" s="186"/>
      <c r="F40" s="186">
        <f t="shared" si="17"/>
        <v>299498.40000000002</v>
      </c>
      <c r="G40" s="194">
        <f t="shared" si="18"/>
        <v>397754.4</v>
      </c>
    </row>
    <row r="41" spans="2:9" x14ac:dyDescent="0.25">
      <c r="B41" s="170" t="s">
        <v>352</v>
      </c>
      <c r="C41" s="186"/>
      <c r="D41" s="186">
        <f>D17</f>
        <v>28141.54</v>
      </c>
      <c r="E41" s="186">
        <f>D17</f>
        <v>28141.54</v>
      </c>
      <c r="F41" s="126"/>
      <c r="G41" s="194">
        <f t="shared" si="18"/>
        <v>56283.08</v>
      </c>
      <c r="I41" s="4"/>
    </row>
    <row r="42" spans="2:9" x14ac:dyDescent="0.25">
      <c r="B42" s="170" t="s">
        <v>354</v>
      </c>
      <c r="C42" s="186"/>
      <c r="D42" s="186">
        <f>D11</f>
        <v>3143.49</v>
      </c>
      <c r="E42" s="186"/>
      <c r="F42" s="186">
        <f>D23</f>
        <v>4579</v>
      </c>
      <c r="G42" s="194">
        <f t="shared" si="18"/>
        <v>7722.49</v>
      </c>
    </row>
    <row r="43" spans="2:9" x14ac:dyDescent="0.25">
      <c r="B43" s="170" t="s">
        <v>189</v>
      </c>
      <c r="C43" s="186"/>
      <c r="D43" s="186">
        <f>E7</f>
        <v>216385.71999999997</v>
      </c>
      <c r="E43" s="186">
        <f>E14</f>
        <v>51849.775000000001</v>
      </c>
      <c r="F43" s="186">
        <f>E19</f>
        <v>360037.03500000003</v>
      </c>
      <c r="G43" s="194">
        <f t="shared" si="18"/>
        <v>628272.53</v>
      </c>
    </row>
    <row r="44" spans="2:9" x14ac:dyDescent="0.25">
      <c r="B44" s="170" t="s">
        <v>190</v>
      </c>
      <c r="C44" s="186"/>
      <c r="D44" s="186">
        <f>C7</f>
        <v>0</v>
      </c>
      <c r="E44" s="186">
        <f>C14</f>
        <v>0</v>
      </c>
      <c r="F44" s="186">
        <f>C19</f>
        <v>0</v>
      </c>
      <c r="G44" s="194">
        <f t="shared" si="18"/>
        <v>0</v>
      </c>
    </row>
    <row r="45" spans="2:9" x14ac:dyDescent="0.25">
      <c r="B45" s="170" t="s">
        <v>191</v>
      </c>
      <c r="C45" s="186"/>
      <c r="D45" s="186">
        <f>F6</f>
        <v>238762.04200000002</v>
      </c>
      <c r="E45" s="186">
        <f>F14</f>
        <v>0</v>
      </c>
      <c r="F45" s="186">
        <f>F13</f>
        <v>61066.058000000005</v>
      </c>
      <c r="G45" s="194">
        <f t="shared" si="18"/>
        <v>299828.10000000003</v>
      </c>
    </row>
    <row r="46" spans="2:9" x14ac:dyDescent="0.25">
      <c r="B46" s="193" t="s">
        <v>192</v>
      </c>
      <c r="C46" s="196"/>
      <c r="D46" s="196">
        <f>SUM(D38:D45)</f>
        <v>1924944.1919999998</v>
      </c>
      <c r="E46" s="196">
        <f>SUM(E38:E45)</f>
        <v>314241.315</v>
      </c>
      <c r="F46" s="196">
        <f>SUM(F38:F45)</f>
        <v>2801929.3030000003</v>
      </c>
      <c r="G46" s="197">
        <f t="shared" si="18"/>
        <v>5041114.8100000005</v>
      </c>
    </row>
    <row r="47" spans="2:9" x14ac:dyDescent="0.25">
      <c r="B47" s="126"/>
      <c r="C47" s="126"/>
      <c r="D47" s="126"/>
      <c r="E47" s="126"/>
      <c r="F47" s="126"/>
    </row>
  </sheetData>
  <pageMargins left="0.7" right="0.7" top="0.75" bottom="0.75" header="0.3" footer="0.3"/>
  <pageSetup scale="7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05FA-DB53-4741-A753-4E20F2B4AD80}">
  <sheetPr codeName="Sheet15">
    <tabColor theme="4" tint="0.59999389629810485"/>
  </sheetPr>
  <dimension ref="B2:AB77"/>
  <sheetViews>
    <sheetView showGridLines="0" zoomScale="85" zoomScaleNormal="85" workbookViewId="0"/>
  </sheetViews>
  <sheetFormatPr defaultColWidth="9.140625" defaultRowHeight="15" x14ac:dyDescent="0.25"/>
  <cols>
    <col min="1" max="1" width="2.7109375" style="31" customWidth="1"/>
    <col min="2" max="2" width="63.42578125" style="31" customWidth="1"/>
    <col min="3" max="3" width="9.5703125" style="31" customWidth="1"/>
    <col min="4" max="4" width="11.5703125" style="31" bestFit="1" customWidth="1"/>
    <col min="5" max="5" width="5.7109375" style="31" bestFit="1" customWidth="1"/>
    <col min="6" max="6" width="7.7109375" style="31" customWidth="1"/>
    <col min="7" max="7" width="10.7109375" style="31" bestFit="1" customWidth="1"/>
    <col min="8" max="8" width="11.5703125" style="31" bestFit="1" customWidth="1"/>
    <col min="9" max="9" width="10" style="31" bestFit="1" customWidth="1"/>
    <col min="10" max="10" width="10" style="31" customWidth="1"/>
    <col min="11" max="11" width="10.42578125" style="31" customWidth="1"/>
    <col min="12" max="12" width="12.5703125" style="31" bestFit="1" customWidth="1"/>
    <col min="13" max="13" width="21.42578125" style="31" bestFit="1" customWidth="1"/>
    <col min="14" max="14" width="8.85546875" style="31" bestFit="1" customWidth="1"/>
    <col min="15" max="15" width="14.7109375" style="31" bestFit="1" customWidth="1"/>
    <col min="16" max="16" width="13.28515625" style="31" bestFit="1" customWidth="1"/>
    <col min="17" max="17" width="15.140625" style="31" bestFit="1" customWidth="1"/>
    <col min="18" max="18" width="15.28515625" style="31" bestFit="1" customWidth="1"/>
    <col min="19" max="21" width="2.7109375" style="31" customWidth="1"/>
    <col min="22" max="26" width="4.7109375" style="31" customWidth="1"/>
    <col min="27" max="16384" width="9.140625" style="31"/>
  </cols>
  <sheetData>
    <row r="2" spans="2:28" customFormat="1" ht="21" x14ac:dyDescent="0.35">
      <c r="B2" s="261" t="s">
        <v>0</v>
      </c>
      <c r="F2" s="394"/>
      <c r="G2" s="31"/>
      <c r="K2" t="s">
        <v>27</v>
      </c>
      <c r="L2" s="394"/>
    </row>
    <row r="3" spans="2:28" ht="21" x14ac:dyDescent="0.35">
      <c r="B3" s="203" t="s">
        <v>317</v>
      </c>
      <c r="C3" s="102"/>
      <c r="D3" s="103"/>
      <c r="E3" s="103"/>
      <c r="G3" s="380"/>
      <c r="H3" s="380"/>
      <c r="I3" s="380"/>
      <c r="J3" s="380"/>
      <c r="K3" s="33"/>
      <c r="L3" s="394"/>
      <c r="O3" s="380"/>
      <c r="Q3"/>
      <c r="V3" s="380"/>
    </row>
    <row r="4" spans="2:28" x14ac:dyDescent="0.25">
      <c r="C4" s="380"/>
      <c r="D4" s="473"/>
      <c r="E4" s="473"/>
      <c r="K4" s="380"/>
      <c r="L4" s="380"/>
      <c r="O4" s="31" t="s">
        <v>27</v>
      </c>
    </row>
    <row r="5" spans="2:28" s="351" customFormat="1" ht="18.75" x14ac:dyDescent="0.3">
      <c r="B5" s="1091" t="s">
        <v>196</v>
      </c>
      <c r="C5" s="1091"/>
      <c r="D5" s="1092" t="s">
        <v>464</v>
      </c>
      <c r="E5" s="1093"/>
      <c r="F5" s="1094"/>
      <c r="G5" s="1102" t="s">
        <v>452</v>
      </c>
      <c r="H5" s="1103"/>
      <c r="I5" s="1104"/>
      <c r="J5" s="1091" t="s">
        <v>509</v>
      </c>
      <c r="K5" s="1107"/>
      <c r="L5" s="1107"/>
      <c r="M5" s="1107"/>
      <c r="N5" s="1107"/>
      <c r="O5" s="1107"/>
      <c r="P5" s="1107"/>
      <c r="Q5" s="1107"/>
      <c r="R5" s="1108"/>
      <c r="S5" s="31"/>
      <c r="T5" s="31"/>
      <c r="U5" s="31"/>
    </row>
    <row r="6" spans="2:28" s="65" customFormat="1" ht="30" x14ac:dyDescent="0.25">
      <c r="B6" s="1097" t="s">
        <v>324</v>
      </c>
      <c r="C6" s="1095" t="s">
        <v>374</v>
      </c>
      <c r="D6" s="532" t="s">
        <v>503</v>
      </c>
      <c r="E6" s="565" t="s">
        <v>493</v>
      </c>
      <c r="F6" s="564" t="s">
        <v>432</v>
      </c>
      <c r="G6" s="555" t="s">
        <v>507</v>
      </c>
      <c r="H6" s="1105" t="s">
        <v>506</v>
      </c>
      <c r="I6" s="1106"/>
      <c r="J6" s="1099" t="s">
        <v>138</v>
      </c>
      <c r="K6" s="1100"/>
      <c r="L6" s="1101"/>
      <c r="M6" s="1099" t="s">
        <v>498</v>
      </c>
      <c r="N6" s="1100"/>
      <c r="O6" s="1100"/>
      <c r="P6" s="1100"/>
      <c r="Q6" s="1100"/>
      <c r="R6" s="1101"/>
      <c r="S6" s="31"/>
      <c r="T6" s="31"/>
      <c r="U6" s="31"/>
      <c r="V6" s="947" t="s">
        <v>197</v>
      </c>
      <c r="W6" s="947" t="s">
        <v>392</v>
      </c>
      <c r="X6" s="947" t="s">
        <v>198</v>
      </c>
      <c r="Y6" s="947" t="s">
        <v>127</v>
      </c>
      <c r="Z6" s="947" t="s">
        <v>155</v>
      </c>
    </row>
    <row r="7" spans="2:28" s="65" customFormat="1" x14ac:dyDescent="0.25">
      <c r="B7" s="1098"/>
      <c r="C7" s="1096"/>
      <c r="D7" s="612" t="s">
        <v>495</v>
      </c>
      <c r="E7" s="613"/>
      <c r="F7" s="614"/>
      <c r="G7" s="615" t="s">
        <v>508</v>
      </c>
      <c r="H7" s="616" t="s">
        <v>497</v>
      </c>
      <c r="I7" s="617" t="s">
        <v>496</v>
      </c>
      <c r="J7" s="615" t="s">
        <v>734</v>
      </c>
      <c r="K7" s="618" t="s">
        <v>504</v>
      </c>
      <c r="L7" s="619" t="s">
        <v>505</v>
      </c>
      <c r="M7" s="592" t="s">
        <v>494</v>
      </c>
      <c r="N7" s="898" t="s">
        <v>735</v>
      </c>
      <c r="O7" s="618" t="s">
        <v>499</v>
      </c>
      <c r="P7" s="617" t="s">
        <v>500</v>
      </c>
      <c r="Q7" s="618" t="s">
        <v>501</v>
      </c>
      <c r="R7" s="617" t="s">
        <v>502</v>
      </c>
      <c r="V7" s="948"/>
      <c r="W7" s="948"/>
      <c r="X7" s="948"/>
      <c r="Y7" s="948"/>
      <c r="Z7" s="948"/>
    </row>
    <row r="8" spans="2:28" x14ac:dyDescent="0.25">
      <c r="B8" s="512" t="str">
        <f>Inputs!C10</f>
        <v>Residential Deed restricted</v>
      </c>
      <c r="C8" s="513"/>
      <c r="D8" s="514"/>
      <c r="E8" s="759"/>
      <c r="F8" s="759"/>
      <c r="G8" s="759"/>
      <c r="H8" s="760"/>
      <c r="I8" s="760"/>
      <c r="J8" s="760"/>
      <c r="K8" s="516"/>
      <c r="L8" s="516"/>
      <c r="M8" s="517"/>
      <c r="N8" s="517"/>
      <c r="O8" s="518"/>
      <c r="P8" s="543"/>
      <c r="Q8" s="543"/>
      <c r="R8" s="519"/>
      <c r="V8" s="949"/>
      <c r="W8" s="949"/>
      <c r="X8" s="949"/>
      <c r="Y8" s="949"/>
      <c r="Z8" s="949"/>
      <c r="AA8"/>
      <c r="AB8"/>
    </row>
    <row r="9" spans="2:28" x14ac:dyDescent="0.25">
      <c r="B9" s="36" t="s">
        <v>427</v>
      </c>
      <c r="C9" s="318" t="s">
        <v>363</v>
      </c>
      <c r="D9" s="541">
        <f>F9/SUM($F$9:$F$13)</f>
        <v>6.6666666666666666E-2</v>
      </c>
      <c r="E9" s="158">
        <v>6</v>
      </c>
      <c r="F9" s="886">
        <v>1</v>
      </c>
      <c r="G9" s="892">
        <v>69700</v>
      </c>
      <c r="H9" s="536">
        <f t="shared" ref="H9:I13" si="0">IFERROR($G9/E9,0)</f>
        <v>11616.666666666666</v>
      </c>
      <c r="I9" s="535">
        <f t="shared" si="0"/>
        <v>69700</v>
      </c>
      <c r="J9" s="896">
        <v>5010</v>
      </c>
      <c r="K9" s="118">
        <f t="shared" ref="K9:L13" si="1">IFERROR($J9/E9,0)</f>
        <v>835</v>
      </c>
      <c r="L9" s="120">
        <f t="shared" si="1"/>
        <v>5010</v>
      </c>
      <c r="M9" s="899"/>
      <c r="N9" s="556"/>
      <c r="O9" s="540"/>
      <c r="P9" s="542"/>
      <c r="Q9" s="533"/>
      <c r="R9" s="542"/>
      <c r="S9" s="876"/>
      <c r="T9" s="876"/>
      <c r="U9" s="876"/>
      <c r="V9" s="946" t="s">
        <v>182</v>
      </c>
      <c r="W9" s="946" t="s">
        <v>463</v>
      </c>
      <c r="X9" s="946" t="s">
        <v>138</v>
      </c>
      <c r="Y9" s="946" t="s">
        <v>131</v>
      </c>
      <c r="Z9" s="946" t="str">
        <f t="shared" ref="Z9:Z13" si="2">V9&amp;X9&amp;Y9</f>
        <v>ResidentialElectricDuctless</v>
      </c>
      <c r="AA9" s="946" t="s">
        <v>27</v>
      </c>
      <c r="AB9"/>
    </row>
    <row r="10" spans="2:28" x14ac:dyDescent="0.25">
      <c r="B10" s="51" t="s">
        <v>426</v>
      </c>
      <c r="C10" s="318" t="s">
        <v>489</v>
      </c>
      <c r="D10" s="487">
        <f>F10/SUM($F$9:$F$13)</f>
        <v>0</v>
      </c>
      <c r="E10" s="158">
        <v>0</v>
      </c>
      <c r="F10" s="886">
        <v>0</v>
      </c>
      <c r="G10" s="893">
        <v>0</v>
      </c>
      <c r="H10" s="536">
        <f t="shared" si="0"/>
        <v>0</v>
      </c>
      <c r="I10" s="538">
        <f t="shared" si="0"/>
        <v>0</v>
      </c>
      <c r="J10" s="896">
        <v>0</v>
      </c>
      <c r="K10" s="118">
        <f t="shared" si="1"/>
        <v>0</v>
      </c>
      <c r="L10" s="120">
        <f t="shared" si="1"/>
        <v>0</v>
      </c>
      <c r="M10" s="900" t="s">
        <v>199</v>
      </c>
      <c r="N10" s="905">
        <v>0</v>
      </c>
      <c r="O10" s="527">
        <f>IFERROR($N10/E10,0)</f>
        <v>0</v>
      </c>
      <c r="P10" s="528">
        <f>O10/$C$42</f>
        <v>0</v>
      </c>
      <c r="Q10" s="526">
        <f>IFERROR($N10/F10,0)</f>
        <v>0</v>
      </c>
      <c r="R10" s="528">
        <f>Q10/$C$42</f>
        <v>0</v>
      </c>
      <c r="S10" s="876"/>
      <c r="T10" s="876"/>
      <c r="U10" s="876"/>
      <c r="V10" s="946" t="s">
        <v>182</v>
      </c>
      <c r="W10" s="946" t="s">
        <v>463</v>
      </c>
      <c r="X10" s="946" t="s">
        <v>130</v>
      </c>
      <c r="Y10" s="946" t="s">
        <v>159</v>
      </c>
      <c r="Z10" s="946" t="str">
        <f t="shared" si="2"/>
        <v>ResidentialOilDucted</v>
      </c>
      <c r="AA10" s="946" t="s">
        <v>27</v>
      </c>
      <c r="AB10"/>
    </row>
    <row r="11" spans="2:28" x14ac:dyDescent="0.25">
      <c r="B11" s="51" t="s">
        <v>430</v>
      </c>
      <c r="C11" s="318" t="s">
        <v>490</v>
      </c>
      <c r="D11" s="487">
        <f>F11/SUM($F$9:$F$13)</f>
        <v>0</v>
      </c>
      <c r="E11" s="158">
        <v>0</v>
      </c>
      <c r="F11" s="886">
        <v>0</v>
      </c>
      <c r="G11" s="893">
        <v>0</v>
      </c>
      <c r="H11" s="536">
        <f t="shared" si="0"/>
        <v>0</v>
      </c>
      <c r="I11" s="538">
        <f t="shared" si="0"/>
        <v>0</v>
      </c>
      <c r="J11" s="896">
        <v>0</v>
      </c>
      <c r="K11" s="118">
        <f t="shared" si="1"/>
        <v>0</v>
      </c>
      <c r="L11" s="120">
        <f t="shared" si="1"/>
        <v>0</v>
      </c>
      <c r="M11" s="900" t="s">
        <v>160</v>
      </c>
      <c r="N11" s="906">
        <v>0</v>
      </c>
      <c r="O11" s="527">
        <f>IFERROR($N11/E11,0)</f>
        <v>0</v>
      </c>
      <c r="P11" s="528">
        <f>O11/$C$43</f>
        <v>0</v>
      </c>
      <c r="Q11" s="597">
        <f>IFERROR($N11/F11,0)</f>
        <v>0</v>
      </c>
      <c r="R11" s="528">
        <f>Q11/$C$43</f>
        <v>0</v>
      </c>
      <c r="S11" s="876"/>
      <c r="T11" s="876"/>
      <c r="U11" s="876"/>
      <c r="V11" s="946" t="s">
        <v>182</v>
      </c>
      <c r="W11" s="946" t="s">
        <v>463</v>
      </c>
      <c r="X11" s="946" t="s">
        <v>160</v>
      </c>
      <c r="Y11" s="946" t="s">
        <v>159</v>
      </c>
      <c r="Z11" s="946" t="str">
        <f t="shared" si="2"/>
        <v>ResidentialPropaneDucted</v>
      </c>
      <c r="AA11" s="946" t="s">
        <v>27</v>
      </c>
      <c r="AB11"/>
    </row>
    <row r="12" spans="2:28" x14ac:dyDescent="0.25">
      <c r="B12" s="36" t="s">
        <v>428</v>
      </c>
      <c r="C12" s="318" t="s">
        <v>361</v>
      </c>
      <c r="D12" s="487">
        <f>F12/SUM($F$9:$F$13)</f>
        <v>0.33333333333333331</v>
      </c>
      <c r="E12" s="158">
        <v>24.240000000000002</v>
      </c>
      <c r="F12" s="886">
        <v>5</v>
      </c>
      <c r="G12" s="893">
        <v>246617.47999999998</v>
      </c>
      <c r="H12" s="536">
        <f t="shared" si="0"/>
        <v>10173.988448844882</v>
      </c>
      <c r="I12" s="538">
        <f t="shared" si="0"/>
        <v>49323.495999999999</v>
      </c>
      <c r="J12" s="896">
        <v>-28729.1</v>
      </c>
      <c r="K12" s="118">
        <f t="shared" si="1"/>
        <v>-1185.1938943894388</v>
      </c>
      <c r="L12" s="120">
        <f t="shared" si="1"/>
        <v>-5745.82</v>
      </c>
      <c r="M12" s="900" t="s">
        <v>199</v>
      </c>
      <c r="N12" s="906">
        <v>251.47199999999998</v>
      </c>
      <c r="O12" s="526">
        <f>IFERROR($N12/E12,0)</f>
        <v>10.374257425742572</v>
      </c>
      <c r="P12" s="528">
        <f>O12/$C$42</f>
        <v>74.801769599412879</v>
      </c>
      <c r="Q12" s="526">
        <f>IFERROR($N12/F12,0)</f>
        <v>50.294399999999996</v>
      </c>
      <c r="R12" s="528">
        <f>Q12/$C$42</f>
        <v>362.63897901795366</v>
      </c>
      <c r="S12" s="876"/>
      <c r="T12" s="876"/>
      <c r="U12" s="876"/>
      <c r="V12" s="946" t="s">
        <v>182</v>
      </c>
      <c r="W12" s="946" t="s">
        <v>463</v>
      </c>
      <c r="X12" s="946" t="s">
        <v>130</v>
      </c>
      <c r="Y12" s="946" t="s">
        <v>131</v>
      </c>
      <c r="Z12" s="946" t="str">
        <f t="shared" si="2"/>
        <v>ResidentialOilDuctless</v>
      </c>
      <c r="AA12" s="946" t="s">
        <v>27</v>
      </c>
      <c r="AB12"/>
    </row>
    <row r="13" spans="2:28" x14ac:dyDescent="0.25">
      <c r="B13" s="25" t="s">
        <v>429</v>
      </c>
      <c r="C13" s="481" t="s">
        <v>362</v>
      </c>
      <c r="D13" s="492">
        <f>F13/SUM($F$9:$F$13)</f>
        <v>0.6</v>
      </c>
      <c r="E13" s="593">
        <v>55.34</v>
      </c>
      <c r="F13" s="887">
        <v>9</v>
      </c>
      <c r="G13" s="894">
        <v>526213.91999999993</v>
      </c>
      <c r="H13" s="537">
        <f t="shared" si="0"/>
        <v>9508.7444886158282</v>
      </c>
      <c r="I13" s="539">
        <f t="shared" si="0"/>
        <v>58468.213333333326</v>
      </c>
      <c r="J13" s="897">
        <v>-72700.800000000003</v>
      </c>
      <c r="K13" s="123">
        <f t="shared" si="1"/>
        <v>-1313.7116010119262</v>
      </c>
      <c r="L13" s="124">
        <f t="shared" si="1"/>
        <v>-8077.8666666666668</v>
      </c>
      <c r="M13" s="901" t="s">
        <v>160</v>
      </c>
      <c r="N13" s="920">
        <v>647.30199999999991</v>
      </c>
      <c r="O13" s="550">
        <f>IFERROR($N13/E13,0)</f>
        <v>11.696819660281891</v>
      </c>
      <c r="P13" s="529">
        <f>O13/$C$43</f>
        <v>128.0678359440935</v>
      </c>
      <c r="Q13" s="930">
        <f>IFERROR($N13/F13,0)</f>
        <v>71.922444444444437</v>
      </c>
      <c r="R13" s="529">
        <f>Q13/$C$43</f>
        <v>787.47489346068164</v>
      </c>
      <c r="S13" s="876"/>
      <c r="T13" s="876"/>
      <c r="U13" s="876"/>
      <c r="V13" s="946" t="s">
        <v>182</v>
      </c>
      <c r="W13" s="946" t="s">
        <v>463</v>
      </c>
      <c r="X13" s="946" t="s">
        <v>160</v>
      </c>
      <c r="Y13" s="946" t="s">
        <v>131</v>
      </c>
      <c r="Z13" s="946" t="str">
        <f t="shared" si="2"/>
        <v>ResidentialPropaneDuctless</v>
      </c>
      <c r="AA13" s="946" t="s">
        <v>27</v>
      </c>
      <c r="AB13"/>
    </row>
    <row r="14" spans="2:28" x14ac:dyDescent="0.25">
      <c r="B14" s="921" t="s">
        <v>117</v>
      </c>
      <c r="C14" s="922"/>
      <c r="D14" s="923"/>
      <c r="E14" s="923"/>
      <c r="F14" s="923"/>
      <c r="G14" s="924"/>
      <c r="H14" s="924"/>
      <c r="I14" s="924"/>
      <c r="J14" s="924"/>
      <c r="K14" s="925"/>
      <c r="L14" s="925"/>
      <c r="M14" s="903"/>
      <c r="N14" s="903"/>
      <c r="O14" s="926"/>
      <c r="P14" s="927"/>
      <c r="Q14" s="928"/>
      <c r="R14" s="929"/>
      <c r="V14" s="949"/>
      <c r="W14" s="949"/>
      <c r="X14" s="949"/>
      <c r="Y14" s="949"/>
      <c r="Z14" s="949"/>
      <c r="AA14" s="946" t="s">
        <v>27</v>
      </c>
      <c r="AB14"/>
    </row>
    <row r="15" spans="2:28" x14ac:dyDescent="0.25">
      <c r="B15" s="51" t="s">
        <v>200</v>
      </c>
      <c r="C15" s="318" t="s">
        <v>360</v>
      </c>
      <c r="D15" s="487">
        <f>F15/SUM($F$15:$F$19)</f>
        <v>6.6666666666666666E-2</v>
      </c>
      <c r="E15" s="158">
        <v>8.5</v>
      </c>
      <c r="F15" s="888">
        <f>SUM(F21,F27)</f>
        <v>2</v>
      </c>
      <c r="G15" s="892">
        <v>89461</v>
      </c>
      <c r="H15" s="536">
        <f t="shared" ref="H15:I19" si="3">IFERROR($G15/E15,0)</f>
        <v>10524.823529411764</v>
      </c>
      <c r="I15" s="538">
        <f t="shared" si="3"/>
        <v>44730.5</v>
      </c>
      <c r="J15" s="896">
        <v>10422</v>
      </c>
      <c r="K15" s="118">
        <f t="shared" ref="K15:L19" si="4">IFERROR($J15/E15,0)</f>
        <v>1226.1176470588234</v>
      </c>
      <c r="L15" s="121">
        <f t="shared" si="4"/>
        <v>5211</v>
      </c>
      <c r="M15" s="902"/>
      <c r="N15" s="557"/>
      <c r="O15" s="534"/>
      <c r="P15" s="542"/>
      <c r="Q15" s="534"/>
      <c r="R15" s="542"/>
      <c r="V15" s="946" t="s">
        <v>117</v>
      </c>
      <c r="W15" s="946"/>
      <c r="X15" s="946" t="s">
        <v>138</v>
      </c>
      <c r="Y15" s="946" t="s">
        <v>131</v>
      </c>
      <c r="Z15" s="946" t="str">
        <f t="shared" ref="Z15:Z19" si="5">V15&amp;X15&amp;Y15</f>
        <v>Income EligibleElectricDuctless</v>
      </c>
      <c r="AA15" s="946" t="s">
        <v>27</v>
      </c>
      <c r="AB15"/>
    </row>
    <row r="16" spans="2:28" x14ac:dyDescent="0.25">
      <c r="B16" s="51" t="s">
        <v>201</v>
      </c>
      <c r="C16" s="318" t="s">
        <v>491</v>
      </c>
      <c r="D16" s="487">
        <f>F16/SUM($F$15:$F$19)</f>
        <v>0</v>
      </c>
      <c r="E16" s="158">
        <v>0</v>
      </c>
      <c r="F16" s="888">
        <f t="shared" ref="F16:F18" si="6">SUM(F22,F28)</f>
        <v>0</v>
      </c>
      <c r="G16" s="893">
        <v>0</v>
      </c>
      <c r="H16" s="536">
        <f t="shared" si="3"/>
        <v>0</v>
      </c>
      <c r="I16" s="538">
        <f t="shared" si="3"/>
        <v>0</v>
      </c>
      <c r="J16" s="896">
        <v>0</v>
      </c>
      <c r="K16" s="118">
        <f t="shared" si="4"/>
        <v>0</v>
      </c>
      <c r="L16" s="121">
        <f t="shared" si="4"/>
        <v>0</v>
      </c>
      <c r="M16" s="900" t="s">
        <v>199</v>
      </c>
      <c r="N16" s="905">
        <v>0</v>
      </c>
      <c r="O16" s="526">
        <f>IFERROR($N16/E16,0)</f>
        <v>0</v>
      </c>
      <c r="P16" s="528">
        <f>O16/$C$42</f>
        <v>0</v>
      </c>
      <c r="Q16" s="526">
        <f>IFERROR($N16/F16,0)</f>
        <v>0</v>
      </c>
      <c r="R16" s="528">
        <f>Q16/$C$42</f>
        <v>0</v>
      </c>
      <c r="V16" s="946" t="s">
        <v>117</v>
      </c>
      <c r="W16" s="946"/>
      <c r="X16" s="946" t="s">
        <v>130</v>
      </c>
      <c r="Y16" s="946" t="s">
        <v>159</v>
      </c>
      <c r="Z16" s="946" t="str">
        <f t="shared" si="5"/>
        <v>Income EligibleOilDucted</v>
      </c>
      <c r="AA16" s="946" t="s">
        <v>27</v>
      </c>
      <c r="AB16"/>
    </row>
    <row r="17" spans="2:28" x14ac:dyDescent="0.25">
      <c r="B17" s="51" t="s">
        <v>202</v>
      </c>
      <c r="C17" s="318" t="s">
        <v>364</v>
      </c>
      <c r="D17" s="487">
        <f>F17/SUM($F$15:$F$19)</f>
        <v>0.23333333333333334</v>
      </c>
      <c r="E17" s="158">
        <v>25</v>
      </c>
      <c r="F17" s="888">
        <f>SUM(F23,F29)</f>
        <v>7</v>
      </c>
      <c r="G17" s="893">
        <v>177868.69999999998</v>
      </c>
      <c r="H17" s="536">
        <f t="shared" si="3"/>
        <v>7114.7479999999996</v>
      </c>
      <c r="I17" s="538">
        <f t="shared" si="3"/>
        <v>25409.814285714285</v>
      </c>
      <c r="J17" s="896">
        <v>-16588</v>
      </c>
      <c r="K17" s="118">
        <f t="shared" si="4"/>
        <v>-663.52</v>
      </c>
      <c r="L17" s="121">
        <f t="shared" si="4"/>
        <v>-2369.7142857142858</v>
      </c>
      <c r="M17" s="900" t="s">
        <v>160</v>
      </c>
      <c r="N17" s="906">
        <v>195.8</v>
      </c>
      <c r="O17" s="526">
        <f>IFERROR($N17/E17,0)</f>
        <v>7.8320000000000007</v>
      </c>
      <c r="P17" s="528">
        <f>O17/$C$43</f>
        <v>85.752137781524766</v>
      </c>
      <c r="Q17" s="597">
        <f>IFERROR($N17/F17,0)</f>
        <v>27.971428571428572</v>
      </c>
      <c r="R17" s="528">
        <f>Q17/$C$43</f>
        <v>306.25763493401695</v>
      </c>
      <c r="S17" s="876"/>
      <c r="T17" s="876"/>
      <c r="U17" s="876"/>
      <c r="V17" s="946" t="s">
        <v>117</v>
      </c>
      <c r="W17" s="946"/>
      <c r="X17" s="946" t="s">
        <v>160</v>
      </c>
      <c r="Y17" s="946" t="s">
        <v>159</v>
      </c>
      <c r="Z17" s="946" t="str">
        <f t="shared" si="5"/>
        <v>Income EligiblePropaneDucted</v>
      </c>
      <c r="AA17" s="946" t="s">
        <v>27</v>
      </c>
      <c r="AB17"/>
    </row>
    <row r="18" spans="2:28" x14ac:dyDescent="0.25">
      <c r="B18" s="51" t="s">
        <v>203</v>
      </c>
      <c r="C18" s="318" t="s">
        <v>358</v>
      </c>
      <c r="D18" s="487">
        <f>F18/SUM($F$15:$F$19)</f>
        <v>0.2</v>
      </c>
      <c r="E18" s="158">
        <v>33.33</v>
      </c>
      <c r="F18" s="888">
        <f t="shared" si="6"/>
        <v>6</v>
      </c>
      <c r="G18" s="893">
        <v>323842.82999999996</v>
      </c>
      <c r="H18" s="536">
        <f t="shared" si="3"/>
        <v>9716.256525652565</v>
      </c>
      <c r="I18" s="538">
        <f t="shared" si="3"/>
        <v>53973.804999999993</v>
      </c>
      <c r="J18" s="896">
        <v>-31724.5</v>
      </c>
      <c r="K18" s="118">
        <f t="shared" si="4"/>
        <v>-951.83018301830191</v>
      </c>
      <c r="L18" s="121">
        <f t="shared" si="4"/>
        <v>-5287.416666666667</v>
      </c>
      <c r="M18" s="900" t="s">
        <v>199</v>
      </c>
      <c r="N18" s="906">
        <v>361.87399999999997</v>
      </c>
      <c r="O18" s="526">
        <f>IFERROR($N18/E18,0)</f>
        <v>10.857305730573056</v>
      </c>
      <c r="P18" s="528">
        <f>O18/$C$42</f>
        <v>78.284704957625323</v>
      </c>
      <c r="Q18" s="526">
        <f>IFERROR($N18/F18,0)</f>
        <v>60.312333333333328</v>
      </c>
      <c r="R18" s="528">
        <f>Q18/$C$42</f>
        <v>434.87153603960866</v>
      </c>
      <c r="S18" s="876"/>
      <c r="T18" s="876"/>
      <c r="U18" s="876"/>
      <c r="V18" s="946" t="s">
        <v>117</v>
      </c>
      <c r="W18" s="946"/>
      <c r="X18" s="946" t="s">
        <v>130</v>
      </c>
      <c r="Y18" s="946" t="s">
        <v>131</v>
      </c>
      <c r="Z18" s="946" t="str">
        <f t="shared" si="5"/>
        <v>Income EligibleOilDuctless</v>
      </c>
      <c r="AA18" s="946" t="s">
        <v>27</v>
      </c>
      <c r="AB18"/>
    </row>
    <row r="19" spans="2:28" x14ac:dyDescent="0.25">
      <c r="B19" s="51" t="s">
        <v>204</v>
      </c>
      <c r="C19" s="318" t="s">
        <v>359</v>
      </c>
      <c r="D19" s="487">
        <f>F19/SUM($F$15:$F$19)</f>
        <v>0.5</v>
      </c>
      <c r="E19" s="158">
        <v>61.21</v>
      </c>
      <c r="F19" s="888">
        <f>SUM(F25,F31)</f>
        <v>15</v>
      </c>
      <c r="G19" s="894">
        <v>616676.27999999991</v>
      </c>
      <c r="H19" s="536">
        <f t="shared" si="3"/>
        <v>10074.763600718836</v>
      </c>
      <c r="I19" s="538">
        <f t="shared" si="3"/>
        <v>41111.751999999993</v>
      </c>
      <c r="J19" s="896">
        <v>-60705.1</v>
      </c>
      <c r="K19" s="118">
        <f t="shared" si="4"/>
        <v>-991.75134781898385</v>
      </c>
      <c r="L19" s="121">
        <f t="shared" si="4"/>
        <v>-4047.0066666666667</v>
      </c>
      <c r="M19" s="901" t="s">
        <v>160</v>
      </c>
      <c r="N19" s="920">
        <v>644.54160000000002</v>
      </c>
      <c r="O19" s="526">
        <f>IFERROR($N19/E19,0)</f>
        <v>10.530004901159941</v>
      </c>
      <c r="P19" s="909">
        <f>O19/$C$43</f>
        <v>115.29244524060243</v>
      </c>
      <c r="Q19" s="597">
        <f>IFERROR($N19/F19,0)</f>
        <v>42.969439999999999</v>
      </c>
      <c r="R19" s="528">
        <f>Q19/$C$43</f>
        <v>470.47003821181829</v>
      </c>
      <c r="S19" s="876"/>
      <c r="T19" s="876"/>
      <c r="U19" s="876"/>
      <c r="V19" s="946" t="s">
        <v>117</v>
      </c>
      <c r="W19" s="946"/>
      <c r="X19" s="946" t="s">
        <v>160</v>
      </c>
      <c r="Y19" s="946" t="s">
        <v>131</v>
      </c>
      <c r="Z19" s="946" t="str">
        <f t="shared" si="5"/>
        <v>Income EligiblePropaneDuctless</v>
      </c>
      <c r="AA19" s="946" t="s">
        <v>27</v>
      </c>
      <c r="AB19"/>
    </row>
    <row r="20" spans="2:28" x14ac:dyDescent="0.25">
      <c r="B20" s="520" t="str">
        <f>Inputs!C11</f>
        <v>Income Eligible Non-deed restricted</v>
      </c>
      <c r="C20" s="521"/>
      <c r="D20" s="522"/>
      <c r="E20" s="522"/>
      <c r="F20" s="522"/>
      <c r="G20" s="523"/>
      <c r="H20" s="523"/>
      <c r="I20" s="523"/>
      <c r="J20" s="523"/>
      <c r="K20" s="544"/>
      <c r="L20" s="544"/>
      <c r="M20" s="524"/>
      <c r="N20" s="904"/>
      <c r="O20" s="551"/>
      <c r="P20" s="545"/>
      <c r="Q20" s="553"/>
      <c r="R20" s="546"/>
      <c r="V20" s="950"/>
      <c r="W20" s="950"/>
      <c r="X20" s="950"/>
      <c r="Y20" s="950"/>
      <c r="Z20" s="950"/>
      <c r="AA20" s="946" t="s">
        <v>27</v>
      </c>
      <c r="AB20"/>
    </row>
    <row r="21" spans="2:28" x14ac:dyDescent="0.25">
      <c r="B21" s="51" t="s">
        <v>200</v>
      </c>
      <c r="C21" s="484" t="s">
        <v>360</v>
      </c>
      <c r="D21" s="487">
        <f>F21/SUM($F$21:$F$25)</f>
        <v>0</v>
      </c>
      <c r="E21" s="158">
        <v>0</v>
      </c>
      <c r="F21" s="889">
        <v>0</v>
      </c>
      <c r="G21" s="895">
        <v>0</v>
      </c>
      <c r="H21" s="485">
        <f t="shared" ref="H21:I25" si="7">IFERROR($G21/E21,0)</f>
        <v>0</v>
      </c>
      <c r="I21" s="561">
        <f t="shared" si="7"/>
        <v>0</v>
      </c>
      <c r="J21" s="895">
        <v>0</v>
      </c>
      <c r="K21" s="19">
        <f t="shared" ref="K21:L25" si="8">IFERROR($J21/E21,0)</f>
        <v>0</v>
      </c>
      <c r="L21" s="21">
        <f t="shared" si="8"/>
        <v>0</v>
      </c>
      <c r="M21" s="902"/>
      <c r="N21" s="557"/>
      <c r="O21" s="534"/>
      <c r="P21" s="549"/>
      <c r="Q21" s="534"/>
      <c r="R21" s="549"/>
      <c r="V21" s="946" t="s">
        <v>117</v>
      </c>
      <c r="W21" s="946" t="s">
        <v>375</v>
      </c>
      <c r="X21" s="946" t="s">
        <v>138</v>
      </c>
      <c r="Y21" s="946" t="s">
        <v>131</v>
      </c>
      <c r="Z21" s="946" t="str">
        <f>V21&amp;W21&amp;X21&amp;Y21</f>
        <v>Income EligibleNot Income RestrictedElectricDuctless</v>
      </c>
      <c r="AA21" s="946" t="s">
        <v>27</v>
      </c>
      <c r="AB21"/>
    </row>
    <row r="22" spans="2:28" x14ac:dyDescent="0.25">
      <c r="B22" s="51" t="s">
        <v>201</v>
      </c>
      <c r="C22" s="318" t="s">
        <v>491</v>
      </c>
      <c r="D22" s="487">
        <f>F22/SUM($F$21:$F$25)</f>
        <v>0</v>
      </c>
      <c r="E22" s="158">
        <v>0</v>
      </c>
      <c r="F22" s="890">
        <v>0</v>
      </c>
      <c r="G22" s="895">
        <v>0</v>
      </c>
      <c r="H22" s="485">
        <f t="shared" si="7"/>
        <v>0</v>
      </c>
      <c r="I22" s="562">
        <f t="shared" si="7"/>
        <v>0</v>
      </c>
      <c r="J22" s="895">
        <v>0</v>
      </c>
      <c r="K22" s="19">
        <f t="shared" si="8"/>
        <v>0</v>
      </c>
      <c r="L22" s="21">
        <f t="shared" si="8"/>
        <v>0</v>
      </c>
      <c r="M22" s="900" t="s">
        <v>199</v>
      </c>
      <c r="N22" s="906">
        <v>0</v>
      </c>
      <c r="O22" s="526">
        <f>IFERROR($N22/E22,0)</f>
        <v>0</v>
      </c>
      <c r="P22" s="548">
        <f>O22/$C$42</f>
        <v>0</v>
      </c>
      <c r="Q22" s="526">
        <f>IFERROR($N22/F22,0)</f>
        <v>0</v>
      </c>
      <c r="R22" s="548">
        <f>Q22/$C$42</f>
        <v>0</v>
      </c>
      <c r="V22" s="946" t="s">
        <v>117</v>
      </c>
      <c r="W22" s="946" t="s">
        <v>375</v>
      </c>
      <c r="X22" s="946" t="s">
        <v>130</v>
      </c>
      <c r="Y22" s="946" t="s">
        <v>159</v>
      </c>
      <c r="Z22" s="946" t="str">
        <f>V22&amp;W22&amp;X22&amp;Y22</f>
        <v>Income EligibleNot Income RestrictedOilDucted</v>
      </c>
      <c r="AA22" s="946" t="s">
        <v>27</v>
      </c>
      <c r="AB22"/>
    </row>
    <row r="23" spans="2:28" x14ac:dyDescent="0.25">
      <c r="B23" s="51" t="s">
        <v>202</v>
      </c>
      <c r="C23" s="484" t="s">
        <v>364</v>
      </c>
      <c r="D23" s="487">
        <f>F23/SUM($F$21:$F$25)</f>
        <v>0</v>
      </c>
      <c r="E23" s="158">
        <v>0</v>
      </c>
      <c r="F23" s="890">
        <v>0</v>
      </c>
      <c r="G23" s="895">
        <v>0</v>
      </c>
      <c r="H23" s="485">
        <f t="shared" si="7"/>
        <v>0</v>
      </c>
      <c r="I23" s="562">
        <f t="shared" si="7"/>
        <v>0</v>
      </c>
      <c r="J23" s="895">
        <v>0</v>
      </c>
      <c r="K23" s="19">
        <f t="shared" si="8"/>
        <v>0</v>
      </c>
      <c r="L23" s="21">
        <f t="shared" si="8"/>
        <v>0</v>
      </c>
      <c r="M23" s="900" t="s">
        <v>160</v>
      </c>
      <c r="N23" s="906">
        <v>0</v>
      </c>
      <c r="O23" s="526">
        <f>IFERROR($N23/E23,0)</f>
        <v>0</v>
      </c>
      <c r="P23" s="548">
        <f>O23/$C$43</f>
        <v>0</v>
      </c>
      <c r="Q23" s="597">
        <f>IFERROR($N23/F23,0)</f>
        <v>0</v>
      </c>
      <c r="R23" s="548">
        <f>Q23/$C$43</f>
        <v>0</v>
      </c>
      <c r="V23" s="946" t="s">
        <v>117</v>
      </c>
      <c r="W23" s="946" t="s">
        <v>375</v>
      </c>
      <c r="X23" s="946" t="s">
        <v>160</v>
      </c>
      <c r="Y23" s="946" t="s">
        <v>159</v>
      </c>
      <c r="Z23" s="946" t="str">
        <f>V23&amp;W23&amp;X23&amp;Y23</f>
        <v>Income EligibleNot Income RestrictedPropaneDucted</v>
      </c>
      <c r="AA23" s="946" t="s">
        <v>27</v>
      </c>
      <c r="AB23"/>
    </row>
    <row r="24" spans="2:28" x14ac:dyDescent="0.25">
      <c r="B24" s="51" t="s">
        <v>203</v>
      </c>
      <c r="C24" s="484" t="s">
        <v>358</v>
      </c>
      <c r="D24" s="487">
        <f>F24/SUM($F$21:$F$25)</f>
        <v>1</v>
      </c>
      <c r="E24" s="158">
        <v>9.58</v>
      </c>
      <c r="F24" s="890">
        <v>2</v>
      </c>
      <c r="G24" s="895">
        <v>98000</v>
      </c>
      <c r="H24" s="485">
        <f t="shared" si="7"/>
        <v>10229.645093945721</v>
      </c>
      <c r="I24" s="562">
        <f t="shared" si="7"/>
        <v>49000</v>
      </c>
      <c r="J24" s="895">
        <v>-8415</v>
      </c>
      <c r="K24" s="19">
        <f t="shared" si="8"/>
        <v>-878.39248434237993</v>
      </c>
      <c r="L24" s="21">
        <f t="shared" si="8"/>
        <v>-4207.5</v>
      </c>
      <c r="M24" s="900" t="s">
        <v>199</v>
      </c>
      <c r="N24" s="906">
        <v>99.323999999999998</v>
      </c>
      <c r="O24" s="526">
        <f>IFERROR($N24/E24,0)</f>
        <v>10.367849686847599</v>
      </c>
      <c r="P24" s="548">
        <f>O24/$C$42</f>
        <v>74.755567718275273</v>
      </c>
      <c r="Q24" s="526">
        <f>IFERROR($N24/F24,0)</f>
        <v>49.661999999999999</v>
      </c>
      <c r="R24" s="548">
        <f>Q24/$C$42</f>
        <v>358.07916937053858</v>
      </c>
      <c r="V24" s="946" t="s">
        <v>117</v>
      </c>
      <c r="W24" s="946" t="s">
        <v>375</v>
      </c>
      <c r="X24" s="946" t="s">
        <v>130</v>
      </c>
      <c r="Y24" s="946" t="s">
        <v>131</v>
      </c>
      <c r="Z24" s="946" t="str">
        <f>V24&amp;W24&amp;X24&amp;Y24</f>
        <v>Income EligibleNot Income RestrictedOilDuctless</v>
      </c>
      <c r="AA24" s="946" t="s">
        <v>27</v>
      </c>
      <c r="AB24"/>
    </row>
    <row r="25" spans="2:28" x14ac:dyDescent="0.25">
      <c r="B25" s="51" t="s">
        <v>204</v>
      </c>
      <c r="C25" s="484" t="s">
        <v>359</v>
      </c>
      <c r="D25" s="487">
        <f>F25/SUM($F$21:$F$25)</f>
        <v>0</v>
      </c>
      <c r="E25" s="158">
        <v>0</v>
      </c>
      <c r="F25" s="891">
        <v>0</v>
      </c>
      <c r="G25" s="895">
        <v>0</v>
      </c>
      <c r="H25" s="485">
        <f t="shared" si="7"/>
        <v>0</v>
      </c>
      <c r="I25" s="563">
        <f t="shared" si="7"/>
        <v>0</v>
      </c>
      <c r="J25" s="895">
        <v>0</v>
      </c>
      <c r="K25" s="19">
        <f t="shared" si="8"/>
        <v>0</v>
      </c>
      <c r="L25" s="21">
        <f t="shared" si="8"/>
        <v>0</v>
      </c>
      <c r="M25" s="901" t="s">
        <v>160</v>
      </c>
      <c r="N25" s="920">
        <v>0</v>
      </c>
      <c r="O25" s="526">
        <f>IFERROR($N25/E25,0)</f>
        <v>0</v>
      </c>
      <c r="P25" s="909">
        <f>O25/$C$43</f>
        <v>0</v>
      </c>
      <c r="Q25" s="597">
        <f>IFERROR($N25/F25,0)</f>
        <v>0</v>
      </c>
      <c r="R25" s="548">
        <f>Q25/$C$43</f>
        <v>0</v>
      </c>
      <c r="V25" s="946" t="s">
        <v>117</v>
      </c>
      <c r="W25" s="946" t="s">
        <v>375</v>
      </c>
      <c r="X25" s="946" t="s">
        <v>160</v>
      </c>
      <c r="Y25" s="946" t="s">
        <v>131</v>
      </c>
      <c r="Z25" s="946" t="str">
        <f>V25&amp;W25&amp;X25&amp;Y25</f>
        <v>Income EligibleNot Income RestrictedPropaneDuctless</v>
      </c>
      <c r="AA25" s="946" t="s">
        <v>27</v>
      </c>
      <c r="AB25"/>
    </row>
    <row r="26" spans="2:28" x14ac:dyDescent="0.25">
      <c r="B26" s="520" t="str">
        <f>Inputs!C12</f>
        <v>Income Eligible Deed restricted</v>
      </c>
      <c r="C26" s="521"/>
      <c r="D26" s="522"/>
      <c r="E26" s="522"/>
      <c r="F26" s="522"/>
      <c r="G26" s="523"/>
      <c r="H26" s="523"/>
      <c r="I26" s="523"/>
      <c r="J26" s="523"/>
      <c r="K26" s="544"/>
      <c r="L26" s="544"/>
      <c r="M26" s="524"/>
      <c r="N26" s="907"/>
      <c r="O26" s="552"/>
      <c r="P26" s="547"/>
      <c r="Q26" s="554"/>
      <c r="R26" s="525"/>
      <c r="V26" s="950"/>
      <c r="W26" s="950"/>
      <c r="X26" s="950"/>
      <c r="Y26" s="950"/>
      <c r="Z26" s="950"/>
      <c r="AA26" s="946" t="s">
        <v>27</v>
      </c>
      <c r="AB26"/>
    </row>
    <row r="27" spans="2:28" x14ac:dyDescent="0.25">
      <c r="B27" s="51" t="s">
        <v>200</v>
      </c>
      <c r="C27" s="484" t="s">
        <v>360</v>
      </c>
      <c r="D27" s="487">
        <f>F27/SUM($F$27:$F$31)</f>
        <v>7.1428571428571425E-2</v>
      </c>
      <c r="E27" s="158">
        <v>8.5</v>
      </c>
      <c r="F27" s="889">
        <v>2</v>
      </c>
      <c r="G27" s="895">
        <v>89461</v>
      </c>
      <c r="H27" s="485">
        <f t="shared" ref="H27:I31" si="9">IFERROR($G27/E27,0)</f>
        <v>10524.823529411764</v>
      </c>
      <c r="I27" s="561">
        <f t="shared" si="9"/>
        <v>44730.5</v>
      </c>
      <c r="J27" s="895">
        <v>10422</v>
      </c>
      <c r="K27" s="19">
        <f t="shared" ref="K27:L31" si="10">IFERROR($J27/E27,0)</f>
        <v>1226.1176470588234</v>
      </c>
      <c r="L27" s="21">
        <f t="shared" si="10"/>
        <v>5211</v>
      </c>
      <c r="M27" s="902"/>
      <c r="N27" s="908"/>
      <c r="O27" s="534"/>
      <c r="P27" s="542"/>
      <c r="Q27" s="534"/>
      <c r="R27" s="542"/>
      <c r="V27" s="946" t="s">
        <v>117</v>
      </c>
      <c r="W27" s="946" t="s">
        <v>463</v>
      </c>
      <c r="X27" s="946" t="s">
        <v>138</v>
      </c>
      <c r="Y27" s="946" t="s">
        <v>131</v>
      </c>
      <c r="Z27" s="946" t="str">
        <f>V27&amp;W27&amp;X27&amp;Y27</f>
        <v>Income Eligibleincome RestrictedElectricDuctless</v>
      </c>
      <c r="AA27" s="946" t="s">
        <v>27</v>
      </c>
      <c r="AB27"/>
    </row>
    <row r="28" spans="2:28" x14ac:dyDescent="0.25">
      <c r="B28" s="51" t="s">
        <v>201</v>
      </c>
      <c r="C28" s="318" t="s">
        <v>491</v>
      </c>
      <c r="D28" s="487">
        <f>F28/SUM($F$27:$F$31)</f>
        <v>0</v>
      </c>
      <c r="E28" s="158">
        <v>0</v>
      </c>
      <c r="F28" s="890">
        <v>0</v>
      </c>
      <c r="G28" s="895">
        <v>0</v>
      </c>
      <c r="H28" s="485">
        <f t="shared" si="9"/>
        <v>0</v>
      </c>
      <c r="I28" s="562">
        <f t="shared" si="9"/>
        <v>0</v>
      </c>
      <c r="J28" s="895">
        <v>0</v>
      </c>
      <c r="K28" s="19">
        <f t="shared" si="10"/>
        <v>0</v>
      </c>
      <c r="L28" s="21">
        <f t="shared" si="10"/>
        <v>0</v>
      </c>
      <c r="M28" s="900" t="s">
        <v>199</v>
      </c>
      <c r="N28" s="906">
        <v>0</v>
      </c>
      <c r="O28" s="526">
        <f>IFERROR($N28/E28,0)</f>
        <v>0</v>
      </c>
      <c r="P28" s="548">
        <f>O28/$C$42</f>
        <v>0</v>
      </c>
      <c r="Q28" s="526">
        <f>IFERROR($N28/F28,0)</f>
        <v>0</v>
      </c>
      <c r="R28" s="548">
        <f>Q28/$C$42</f>
        <v>0</v>
      </c>
      <c r="V28" s="946" t="s">
        <v>117</v>
      </c>
      <c r="W28" s="946" t="s">
        <v>463</v>
      </c>
      <c r="X28" s="946" t="s">
        <v>130</v>
      </c>
      <c r="Y28" s="946" t="s">
        <v>159</v>
      </c>
      <c r="Z28" s="946" t="str">
        <f>V28&amp;W28&amp;X28&amp;Y28</f>
        <v>Income Eligibleincome RestrictedOilDucted</v>
      </c>
      <c r="AA28" s="946" t="s">
        <v>27</v>
      </c>
      <c r="AB28"/>
    </row>
    <row r="29" spans="2:28" x14ac:dyDescent="0.25">
      <c r="B29" s="51" t="s">
        <v>202</v>
      </c>
      <c r="C29" s="484" t="s">
        <v>364</v>
      </c>
      <c r="D29" s="487">
        <f>F29/SUM($F$27:$F$31)</f>
        <v>0.25</v>
      </c>
      <c r="E29" s="158">
        <v>25</v>
      </c>
      <c r="F29" s="890">
        <v>7</v>
      </c>
      <c r="G29" s="895">
        <v>177868.69999999998</v>
      </c>
      <c r="H29" s="485">
        <f t="shared" si="9"/>
        <v>7114.7479999999996</v>
      </c>
      <c r="I29" s="562">
        <f t="shared" si="9"/>
        <v>25409.814285714285</v>
      </c>
      <c r="J29" s="895">
        <v>-16588</v>
      </c>
      <c r="K29" s="19">
        <f t="shared" si="10"/>
        <v>-663.52</v>
      </c>
      <c r="L29" s="21">
        <f t="shared" si="10"/>
        <v>-2369.7142857142858</v>
      </c>
      <c r="M29" s="900" t="s">
        <v>160</v>
      </c>
      <c r="N29" s="906">
        <v>195.8</v>
      </c>
      <c r="O29" s="526">
        <f>IFERROR($N29/E29,0)</f>
        <v>7.8320000000000007</v>
      </c>
      <c r="P29" s="548">
        <f>O29/$C$43</f>
        <v>85.752137781524766</v>
      </c>
      <c r="Q29" s="597">
        <f>IFERROR($N29/F29,0)</f>
        <v>27.971428571428572</v>
      </c>
      <c r="R29" s="548">
        <f>Q29/$C$43</f>
        <v>306.25763493401695</v>
      </c>
      <c r="V29" s="946" t="s">
        <v>117</v>
      </c>
      <c r="W29" s="946" t="s">
        <v>463</v>
      </c>
      <c r="X29" s="946" t="s">
        <v>160</v>
      </c>
      <c r="Y29" s="946" t="s">
        <v>159</v>
      </c>
      <c r="Z29" s="946" t="str">
        <f>V29&amp;W29&amp;X29&amp;Y29</f>
        <v>Income Eligibleincome RestrictedPropaneDucted</v>
      </c>
      <c r="AA29" s="946" t="s">
        <v>27</v>
      </c>
      <c r="AB29"/>
    </row>
    <row r="30" spans="2:28" x14ac:dyDescent="0.25">
      <c r="B30" s="51" t="s">
        <v>203</v>
      </c>
      <c r="C30" s="484" t="s">
        <v>358</v>
      </c>
      <c r="D30" s="487">
        <f>F30/SUM($F$27:$F$31)</f>
        <v>0.14285714285714285</v>
      </c>
      <c r="E30" s="158">
        <v>23.75</v>
      </c>
      <c r="F30" s="890">
        <v>4</v>
      </c>
      <c r="G30" s="895">
        <v>225842.83</v>
      </c>
      <c r="H30" s="485">
        <f t="shared" si="9"/>
        <v>9509.171789473683</v>
      </c>
      <c r="I30" s="562">
        <f t="shared" si="9"/>
        <v>56460.707499999997</v>
      </c>
      <c r="J30" s="895">
        <v>-23309.5</v>
      </c>
      <c r="K30" s="19">
        <f t="shared" si="10"/>
        <v>-981.45263157894738</v>
      </c>
      <c r="L30" s="21">
        <f t="shared" si="10"/>
        <v>-5827.375</v>
      </c>
      <c r="M30" s="900" t="s">
        <v>199</v>
      </c>
      <c r="N30" s="906">
        <v>262.55</v>
      </c>
      <c r="O30" s="526">
        <f>IFERROR($N30/E30,0)</f>
        <v>11.054736842105264</v>
      </c>
      <c r="P30" s="548">
        <f>O30/$C$42</f>
        <v>79.708247473539998</v>
      </c>
      <c r="Q30" s="526">
        <f>IFERROR($N30/F30,0)</f>
        <v>65.637500000000003</v>
      </c>
      <c r="R30" s="548">
        <f>Q30/$C$42</f>
        <v>473.26771937414378</v>
      </c>
      <c r="V30" s="946" t="s">
        <v>117</v>
      </c>
      <c r="W30" s="946" t="s">
        <v>463</v>
      </c>
      <c r="X30" s="946" t="s">
        <v>130</v>
      </c>
      <c r="Y30" s="946" t="s">
        <v>131</v>
      </c>
      <c r="Z30" s="946" t="str">
        <f>V30&amp;W30&amp;X30&amp;Y30</f>
        <v>Income Eligibleincome RestrictedOilDuctless</v>
      </c>
      <c r="AA30" s="946" t="s">
        <v>27</v>
      </c>
      <c r="AB30"/>
    </row>
    <row r="31" spans="2:28" x14ac:dyDescent="0.25">
      <c r="B31" s="51" t="s">
        <v>204</v>
      </c>
      <c r="C31" s="484" t="s">
        <v>359</v>
      </c>
      <c r="D31" s="487">
        <f>F31/SUM($F$27:$F$31)</f>
        <v>0.5357142857142857</v>
      </c>
      <c r="E31" s="158">
        <v>61.21</v>
      </c>
      <c r="F31" s="891">
        <v>15</v>
      </c>
      <c r="G31" s="895">
        <v>616676.27999999991</v>
      </c>
      <c r="H31" s="485">
        <f t="shared" si="9"/>
        <v>10074.763600718836</v>
      </c>
      <c r="I31" s="563">
        <f t="shared" si="9"/>
        <v>41111.751999999993</v>
      </c>
      <c r="J31" s="895">
        <v>-60705.1</v>
      </c>
      <c r="K31" s="19">
        <f t="shared" si="10"/>
        <v>-991.75134781898385</v>
      </c>
      <c r="L31" s="21">
        <f t="shared" si="10"/>
        <v>-4047.0066666666667</v>
      </c>
      <c r="M31" s="901" t="s">
        <v>160</v>
      </c>
      <c r="N31" s="920">
        <v>644.54160000000002</v>
      </c>
      <c r="O31" s="526">
        <f>IFERROR($N31/E31,0)</f>
        <v>10.530004901159941</v>
      </c>
      <c r="P31" s="909">
        <f>O31/$C$43</f>
        <v>115.29244524060243</v>
      </c>
      <c r="Q31" s="597">
        <f>IFERROR($N31/F31,0)</f>
        <v>42.969439999999999</v>
      </c>
      <c r="R31" s="548">
        <f>Q31/$C$43</f>
        <v>470.47003821181829</v>
      </c>
      <c r="V31" s="946" t="s">
        <v>117</v>
      </c>
      <c r="W31" s="946" t="s">
        <v>463</v>
      </c>
      <c r="X31" s="946" t="s">
        <v>160</v>
      </c>
      <c r="Y31" s="946" t="s">
        <v>131</v>
      </c>
      <c r="Z31" s="946" t="str">
        <f>V31&amp;W31&amp;X31&amp;Y31</f>
        <v>Income Eligibleincome RestrictedPropaneDuctless</v>
      </c>
      <c r="AA31" s="946" t="s">
        <v>27</v>
      </c>
      <c r="AB31"/>
    </row>
    <row r="32" spans="2:28" x14ac:dyDescent="0.25">
      <c r="B32" s="512" t="s">
        <v>205</v>
      </c>
      <c r="C32" s="513"/>
      <c r="D32" s="514"/>
      <c r="E32" s="514"/>
      <c r="F32" s="514"/>
      <c r="G32" s="515"/>
      <c r="H32" s="515"/>
      <c r="I32" s="515"/>
      <c r="J32" s="515"/>
      <c r="K32" s="516"/>
      <c r="L32" s="516"/>
      <c r="M32" s="517"/>
      <c r="N32" s="903"/>
      <c r="O32" s="518"/>
      <c r="P32" s="543"/>
      <c r="Q32" s="543"/>
      <c r="R32" s="519"/>
      <c r="V32" s="270"/>
      <c r="W32" s="270"/>
      <c r="X32" s="270"/>
      <c r="Y32" s="270"/>
      <c r="Z32" s="270"/>
      <c r="AA32" s="946" t="s">
        <v>27</v>
      </c>
      <c r="AB32"/>
    </row>
    <row r="33" spans="2:28" x14ac:dyDescent="0.25">
      <c r="B33" s="10" t="s">
        <v>182</v>
      </c>
      <c r="C33" s="18"/>
      <c r="D33" s="471">
        <f>F33/SUM($F$33:$F$34)</f>
        <v>0.33333333333333331</v>
      </c>
      <c r="E33" s="536">
        <f>SUM(E9:E13)</f>
        <v>85.580000000000013</v>
      </c>
      <c r="F33" s="538">
        <f>SUM(F9:F13)</f>
        <v>15</v>
      </c>
      <c r="G33" s="488">
        <f>SUM(G9:G13)</f>
        <v>842531.39999999991</v>
      </c>
      <c r="H33" s="485">
        <f t="shared" ref="H33:H37" si="11">IFERROR($G33/E33,0)</f>
        <v>9844.956765599436</v>
      </c>
      <c r="I33" s="562">
        <f t="shared" ref="I33:I37" si="12">IFERROR($G33/F33,0)</f>
        <v>56168.759999999995</v>
      </c>
      <c r="J33" s="488">
        <f>SUM(J9:J13)</f>
        <v>-96419.9</v>
      </c>
      <c r="K33" s="19">
        <f t="shared" ref="K33:K37" si="13">IFERROR($J33/E33,0)</f>
        <v>-1126.6639401729374</v>
      </c>
      <c r="L33" s="21">
        <f t="shared" ref="L33:L37" si="14">IFERROR($J33/F33,0)</f>
        <v>-6427.9933333333329</v>
      </c>
      <c r="M33" s="558"/>
      <c r="N33" s="1123"/>
      <c r="O33" s="1124"/>
      <c r="P33" s="1125"/>
      <c r="Q33" s="1126"/>
      <c r="R33" s="1127"/>
      <c r="AA33"/>
      <c r="AB33"/>
    </row>
    <row r="34" spans="2:28" x14ac:dyDescent="0.25">
      <c r="B34" s="12" t="s">
        <v>117</v>
      </c>
      <c r="C34" s="61"/>
      <c r="D34" s="472">
        <f>F34/SUM($F$33:$F$34)</f>
        <v>0.66666666666666663</v>
      </c>
      <c r="E34" s="537">
        <f>SUM(E15:E19)</f>
        <v>128.04</v>
      </c>
      <c r="F34" s="539">
        <f>SUM(F15:F19)</f>
        <v>30</v>
      </c>
      <c r="G34" s="489">
        <f>SUM(G15:G19)</f>
        <v>1207848.8099999998</v>
      </c>
      <c r="H34" s="1122">
        <f t="shared" si="11"/>
        <v>9433.3708997188369</v>
      </c>
      <c r="I34" s="563">
        <f t="shared" si="12"/>
        <v>40261.626999999993</v>
      </c>
      <c r="J34" s="489">
        <f>SUM(J15:J19)</f>
        <v>-98595.6</v>
      </c>
      <c r="K34" s="62">
        <f t="shared" si="13"/>
        <v>-770.03748828491109</v>
      </c>
      <c r="L34" s="63">
        <f t="shared" si="14"/>
        <v>-3286.52</v>
      </c>
      <c r="M34" s="559"/>
      <c r="N34" s="1128"/>
      <c r="O34" s="1129"/>
      <c r="P34" s="1130"/>
      <c r="Q34" s="1129"/>
      <c r="R34" s="1130"/>
      <c r="S34" s="34"/>
      <c r="T34" s="34"/>
      <c r="U34" s="34"/>
      <c r="Y34" s="31" t="s">
        <v>27</v>
      </c>
      <c r="AA34"/>
      <c r="AB34"/>
    </row>
    <row r="35" spans="2:28" x14ac:dyDescent="0.25">
      <c r="B35" s="17" t="s">
        <v>138</v>
      </c>
      <c r="C35" s="18"/>
      <c r="D35" s="471">
        <f>F35/SUM($F$35:$F$37)</f>
        <v>6.6666666666666666E-2</v>
      </c>
      <c r="E35" s="536">
        <f t="shared" ref="E35:G37" si="15">SUMIFS(E$8:E$19,$X$8:$X$19,$B35)</f>
        <v>14.5</v>
      </c>
      <c r="F35" s="538">
        <f t="shared" si="15"/>
        <v>3</v>
      </c>
      <c r="G35" s="488">
        <f t="shared" si="15"/>
        <v>159161</v>
      </c>
      <c r="H35" s="485">
        <f t="shared" si="11"/>
        <v>10976.620689655172</v>
      </c>
      <c r="I35" s="562">
        <f t="shared" si="12"/>
        <v>53053.666666666664</v>
      </c>
      <c r="J35" s="488">
        <f t="shared" ref="J35:J37" si="16">SUMIFS(J$8:J$19,$X$8:$X$19,$B35)</f>
        <v>15432</v>
      </c>
      <c r="K35" s="19">
        <f t="shared" si="13"/>
        <v>1064.2758620689656</v>
      </c>
      <c r="L35" s="21">
        <f t="shared" si="14"/>
        <v>5144</v>
      </c>
      <c r="M35" s="560"/>
      <c r="N35" s="1123"/>
      <c r="O35" s="1124"/>
      <c r="P35" s="1125"/>
      <c r="Q35" s="1126"/>
      <c r="R35" s="1127"/>
      <c r="S35" s="34"/>
      <c r="T35" s="34"/>
      <c r="U35" s="34"/>
      <c r="AA35"/>
      <c r="AB35"/>
    </row>
    <row r="36" spans="2:28" x14ac:dyDescent="0.25">
      <c r="B36" s="10" t="s">
        <v>130</v>
      </c>
      <c r="C36" s="18"/>
      <c r="D36" s="471">
        <f>F36/SUM($F$35:$F$37)</f>
        <v>0.24444444444444444</v>
      </c>
      <c r="E36" s="536">
        <f t="shared" si="15"/>
        <v>57.57</v>
      </c>
      <c r="F36" s="538">
        <f t="shared" si="15"/>
        <v>11</v>
      </c>
      <c r="G36" s="488">
        <f t="shared" si="15"/>
        <v>570460.30999999994</v>
      </c>
      <c r="H36" s="485">
        <f t="shared" si="11"/>
        <v>9908.9857564703834</v>
      </c>
      <c r="I36" s="562">
        <f t="shared" si="12"/>
        <v>51860.028181818176</v>
      </c>
      <c r="J36" s="488">
        <f t="shared" si="16"/>
        <v>-60453.599999999999</v>
      </c>
      <c r="K36" s="19">
        <f t="shared" si="13"/>
        <v>-1050.088587806149</v>
      </c>
      <c r="L36" s="21">
        <f t="shared" si="14"/>
        <v>-5495.7818181818184</v>
      </c>
      <c r="M36" s="560"/>
      <c r="N36" s="1123"/>
      <c r="O36" s="1131"/>
      <c r="P36" s="1127"/>
      <c r="Q36" s="1126"/>
      <c r="R36" s="1127"/>
      <c r="S36" s="859"/>
      <c r="T36" s="859"/>
      <c r="U36" s="859"/>
      <c r="AA36"/>
      <c r="AB36"/>
    </row>
    <row r="37" spans="2:28" x14ac:dyDescent="0.25">
      <c r="B37" s="12" t="s">
        <v>160</v>
      </c>
      <c r="C37" s="61"/>
      <c r="D37" s="472">
        <f t="shared" ref="D37" si="17">F37/SUM($F$35:$F$37)</f>
        <v>0.68888888888888888</v>
      </c>
      <c r="E37" s="537">
        <f t="shared" si="15"/>
        <v>141.55000000000001</v>
      </c>
      <c r="F37" s="539">
        <f t="shared" si="15"/>
        <v>31</v>
      </c>
      <c r="G37" s="489">
        <f t="shared" si="15"/>
        <v>1320758.8999999999</v>
      </c>
      <c r="H37" s="1122">
        <f t="shared" si="11"/>
        <v>9330.6880960791223</v>
      </c>
      <c r="I37" s="563">
        <f t="shared" si="12"/>
        <v>42605.125806451608</v>
      </c>
      <c r="J37" s="489">
        <f t="shared" si="16"/>
        <v>-149993.9</v>
      </c>
      <c r="K37" s="62">
        <f t="shared" si="13"/>
        <v>-1059.6531261038501</v>
      </c>
      <c r="L37" s="63">
        <f t="shared" si="14"/>
        <v>-4838.5129032258064</v>
      </c>
      <c r="M37" s="559"/>
      <c r="N37" s="1128"/>
      <c r="O37" s="1129"/>
      <c r="P37" s="1130"/>
      <c r="Q37" s="1136"/>
      <c r="R37" s="1130"/>
      <c r="S37" s="867"/>
      <c r="T37" s="867"/>
      <c r="U37" s="867"/>
      <c r="AA37"/>
      <c r="AB37"/>
    </row>
    <row r="38" spans="2:28" x14ac:dyDescent="0.25">
      <c r="B38" s="50"/>
      <c r="C38" s="469" t="s">
        <v>27</v>
      </c>
      <c r="D38" s="50"/>
      <c r="E38" s="50"/>
      <c r="F38" s="490"/>
      <c r="G38" s="491"/>
      <c r="H38" s="491"/>
      <c r="I38" s="491"/>
      <c r="J38" s="491"/>
      <c r="K38" s="50"/>
      <c r="L38" s="50"/>
      <c r="P38" s="32"/>
      <c r="Q38" s="32"/>
      <c r="R38" s="32"/>
      <c r="AA38"/>
      <c r="AB38"/>
    </row>
    <row r="39" spans="2:28" ht="15" customHeight="1" x14ac:dyDescent="0.25">
      <c r="B39" s="56" t="s">
        <v>206</v>
      </c>
      <c r="C39" s="55" t="s">
        <v>27</v>
      </c>
      <c r="D39" s="470"/>
      <c r="E39" s="470"/>
      <c r="F39" s="486">
        <f>SUM(F35:F37)-Summary!I21</f>
        <v>0</v>
      </c>
      <c r="G39" s="751"/>
      <c r="H39" s="752"/>
      <c r="I39" s="752"/>
      <c r="J39" s="752"/>
      <c r="K39" s="752"/>
      <c r="L39" s="752"/>
      <c r="M39" s="752"/>
      <c r="N39" s="752"/>
      <c r="O39" s="752"/>
      <c r="P39" s="752"/>
      <c r="Q39" s="486"/>
      <c r="R39" s="486"/>
      <c r="AA39"/>
      <c r="AB39"/>
    </row>
    <row r="40" spans="2:28" x14ac:dyDescent="0.25">
      <c r="B40" s="52" t="s">
        <v>492</v>
      </c>
      <c r="C40" s="55"/>
      <c r="D40" s="55"/>
      <c r="E40" s="55"/>
      <c r="F40" s="486"/>
      <c r="G40" s="751"/>
      <c r="H40" s="752"/>
      <c r="I40" s="752"/>
      <c r="J40" s="752"/>
      <c r="K40" s="752"/>
      <c r="L40" s="752"/>
      <c r="M40" s="752"/>
      <c r="N40" s="752"/>
      <c r="O40" s="752"/>
      <c r="P40" s="752"/>
      <c r="Q40" s="486"/>
      <c r="R40" s="486"/>
      <c r="AA40"/>
      <c r="AB40"/>
    </row>
    <row r="41" spans="2:28" x14ac:dyDescent="0.25">
      <c r="B41" s="50"/>
      <c r="C41" s="50"/>
      <c r="D41" s="50"/>
      <c r="E41" s="50"/>
      <c r="F41" s="486"/>
      <c r="G41" s="752"/>
      <c r="H41" s="752"/>
      <c r="I41" s="752"/>
      <c r="J41" s="752"/>
      <c r="K41" s="752"/>
      <c r="L41" s="752"/>
      <c r="M41" s="752"/>
      <c r="N41" s="752"/>
      <c r="O41" s="752"/>
      <c r="Q41" s="486"/>
      <c r="R41" s="486"/>
      <c r="AA41"/>
      <c r="AB41"/>
    </row>
    <row r="42" spans="2:28" x14ac:dyDescent="0.25">
      <c r="B42" s="258" t="s">
        <v>207</v>
      </c>
      <c r="C42" s="53">
        <f>138690/1000000</f>
        <v>0.13869000000000001</v>
      </c>
      <c r="D42" s="52"/>
      <c r="E42" s="52"/>
      <c r="F42" s="486"/>
      <c r="G42" s="752"/>
      <c r="H42" s="752"/>
      <c r="I42" s="752"/>
      <c r="J42" s="752"/>
      <c r="K42" s="752"/>
      <c r="L42" s="752"/>
      <c r="M42" s="752"/>
      <c r="N42" s="752"/>
      <c r="O42" s="752"/>
      <c r="P42" s="752"/>
      <c r="Q42" s="486"/>
      <c r="R42" s="486"/>
      <c r="AA42"/>
      <c r="AB42"/>
    </row>
    <row r="43" spans="2:28" x14ac:dyDescent="0.25">
      <c r="B43" s="259" t="s">
        <v>208</v>
      </c>
      <c r="C43" s="54">
        <f>91333/1000000</f>
        <v>9.1332999999999998E-2</v>
      </c>
      <c r="D43" s="50"/>
      <c r="E43" s="50"/>
      <c r="F43" s="486"/>
      <c r="G43" s="752"/>
      <c r="H43" s="752"/>
      <c r="I43" s="752"/>
      <c r="J43" s="752"/>
      <c r="K43" s="752"/>
      <c r="L43" s="752"/>
      <c r="M43" s="752"/>
      <c r="N43" s="752"/>
      <c r="O43" s="752"/>
      <c r="P43" s="752"/>
      <c r="Q43" s="486"/>
      <c r="R43" s="486"/>
      <c r="AA43"/>
      <c r="AB43"/>
    </row>
    <row r="44" spans="2:28" x14ac:dyDescent="0.25">
      <c r="B44" s="50"/>
      <c r="C44" s="50"/>
      <c r="D44" s="50"/>
      <c r="E44" s="50"/>
      <c r="F44" s="50"/>
      <c r="G44" s="751"/>
      <c r="H44" s="751"/>
      <c r="I44" s="751"/>
      <c r="J44" s="751"/>
      <c r="K44" s="753"/>
      <c r="L44" s="753"/>
      <c r="M44" s="751"/>
      <c r="N44" s="751"/>
      <c r="O44" s="751"/>
      <c r="P44" s="751"/>
      <c r="Q44" s="32"/>
      <c r="R44" s="32"/>
    </row>
    <row r="45" spans="2:28" x14ac:dyDescent="0.25">
      <c r="B45" s="354" t="s">
        <v>465</v>
      </c>
      <c r="C45" s="482"/>
      <c r="F45" s="50"/>
      <c r="G45" s="751"/>
      <c r="H45" s="751"/>
      <c r="I45" s="751"/>
      <c r="J45" s="751"/>
      <c r="L45" s="753"/>
      <c r="M45" s="753"/>
      <c r="N45" s="753"/>
      <c r="O45" s="751"/>
      <c r="P45" s="751"/>
      <c r="Q45" s="32"/>
      <c r="R45" s="32"/>
    </row>
    <row r="46" spans="2:28" x14ac:dyDescent="0.25">
      <c r="B46" s="170" t="s">
        <v>182</v>
      </c>
      <c r="C46" s="493">
        <f>F33-Summary!I18</f>
        <v>0</v>
      </c>
      <c r="D46" s="34"/>
      <c r="F46" s="50"/>
      <c r="G46" s="751"/>
      <c r="H46" s="751"/>
      <c r="I46" s="751"/>
      <c r="J46" s="751"/>
      <c r="K46" s="752"/>
      <c r="L46" s="752"/>
      <c r="M46" s="752"/>
      <c r="N46" s="752"/>
      <c r="O46" s="751"/>
      <c r="P46" s="751"/>
    </row>
    <row r="47" spans="2:28" x14ac:dyDescent="0.25">
      <c r="B47" s="170" t="s">
        <v>117</v>
      </c>
      <c r="C47" s="493">
        <f>F34-SUM(Summary!I19:I20)</f>
        <v>0</v>
      </c>
      <c r="F47" s="50"/>
      <c r="G47" s="751"/>
      <c r="H47" s="751"/>
      <c r="I47" s="751"/>
      <c r="J47" s="751"/>
      <c r="K47" s="753"/>
      <c r="L47" s="757"/>
      <c r="M47" s="755"/>
      <c r="N47" s="755"/>
      <c r="O47" s="762"/>
      <c r="P47" s="751"/>
      <c r="Q47" s="34"/>
      <c r="R47" s="34"/>
    </row>
    <row r="48" spans="2:28" collapsed="1" x14ac:dyDescent="0.25">
      <c r="B48" s="171" t="s">
        <v>176</v>
      </c>
      <c r="C48" s="494">
        <f>SUM(F35:F37)-Summary!I21</f>
        <v>0</v>
      </c>
      <c r="F48" s="269"/>
      <c r="G48" s="751"/>
      <c r="H48" s="751"/>
      <c r="I48" s="751"/>
      <c r="J48" s="751"/>
      <c r="K48" s="753"/>
      <c r="L48" s="757"/>
      <c r="M48" s="755"/>
      <c r="N48" s="755"/>
      <c r="O48" s="762"/>
      <c r="P48" s="751"/>
      <c r="Q48" s="270"/>
      <c r="R48" s="270"/>
    </row>
    <row r="49" spans="2:18" x14ac:dyDescent="0.25">
      <c r="F49" s="269"/>
      <c r="G49" s="751"/>
      <c r="H49" s="751"/>
      <c r="I49" s="751"/>
      <c r="J49" s="751"/>
      <c r="K49" s="753"/>
      <c r="L49" s="757"/>
      <c r="M49" s="755"/>
      <c r="N49" s="755"/>
      <c r="O49" s="762"/>
      <c r="P49" s="751"/>
      <c r="Q49" s="34"/>
      <c r="R49" s="270"/>
    </row>
    <row r="50" spans="2:18" x14ac:dyDescent="0.25">
      <c r="F50" s="269"/>
      <c r="G50" s="751"/>
      <c r="H50" s="751"/>
      <c r="I50" s="751"/>
      <c r="J50" s="751"/>
      <c r="K50" s="753"/>
      <c r="L50" s="757"/>
      <c r="M50" s="755"/>
      <c r="N50" s="755"/>
      <c r="O50" s="762"/>
      <c r="P50" s="751"/>
      <c r="Q50" s="270"/>
      <c r="R50" s="270"/>
    </row>
    <row r="51" spans="2:18" x14ac:dyDescent="0.25">
      <c r="F51" s="269"/>
      <c r="G51" s="754"/>
      <c r="H51" s="751"/>
      <c r="R51" s="270"/>
    </row>
    <row r="52" spans="2:18" x14ac:dyDescent="0.25">
      <c r="F52" s="269"/>
      <c r="G52" s="752"/>
      <c r="H52" s="751"/>
      <c r="P52" s="751"/>
      <c r="Q52" s="751"/>
      <c r="R52" s="751"/>
    </row>
    <row r="53" spans="2:18" x14ac:dyDescent="0.25">
      <c r="C53" s="50"/>
      <c r="D53" s="50"/>
      <c r="E53" s="50"/>
      <c r="F53" s="50"/>
      <c r="G53" s="755"/>
      <c r="H53" s="751"/>
      <c r="I53" s="751"/>
      <c r="J53" s="751"/>
      <c r="L53" s="753"/>
      <c r="M53" s="753"/>
      <c r="N53" s="753"/>
      <c r="P53" s="753"/>
      <c r="Q53" s="751"/>
      <c r="R53" s="751"/>
    </row>
    <row r="54" spans="2:18" x14ac:dyDescent="0.25">
      <c r="F54" s="269"/>
      <c r="G54" s="751"/>
      <c r="H54" s="751"/>
      <c r="I54" s="751"/>
      <c r="J54" s="751"/>
      <c r="K54" s="752"/>
      <c r="L54" s="752"/>
      <c r="M54" s="752"/>
      <c r="N54" s="752"/>
      <c r="O54" s="751"/>
      <c r="P54" s="755"/>
      <c r="Q54" s="751"/>
      <c r="R54" s="751"/>
    </row>
    <row r="55" spans="2:18" x14ac:dyDescent="0.25">
      <c r="B55" s="374"/>
      <c r="C55" s="374"/>
      <c r="I55" s="751"/>
      <c r="J55" s="751"/>
      <c r="K55" s="753"/>
      <c r="L55" s="752"/>
      <c r="M55" s="755"/>
      <c r="N55" s="755"/>
      <c r="O55" s="755"/>
      <c r="P55" s="758"/>
      <c r="Q55" s="756"/>
      <c r="R55" s="755"/>
    </row>
    <row r="56" spans="2:18" x14ac:dyDescent="0.25">
      <c r="B56" s="374"/>
      <c r="C56" s="374"/>
      <c r="I56" s="751"/>
      <c r="J56" s="751"/>
      <c r="K56" s="753"/>
      <c r="L56" s="757"/>
      <c r="M56" s="755"/>
      <c r="N56" s="755"/>
      <c r="O56" s="751"/>
      <c r="P56" s="755"/>
      <c r="Q56" s="751"/>
      <c r="R56" s="751"/>
    </row>
    <row r="57" spans="2:18" x14ac:dyDescent="0.25">
      <c r="B57" s="374"/>
      <c r="C57" s="374"/>
      <c r="I57" s="751"/>
      <c r="J57" s="751"/>
      <c r="K57" s="753"/>
      <c r="L57" s="755"/>
      <c r="M57" s="755"/>
      <c r="N57" s="755"/>
      <c r="P57" s="758"/>
      <c r="Q57" s="756"/>
      <c r="R57" s="755"/>
    </row>
    <row r="58" spans="2:18" x14ac:dyDescent="0.25">
      <c r="B58" s="374"/>
      <c r="C58" s="374"/>
      <c r="I58" s="751"/>
      <c r="J58" s="751"/>
      <c r="K58" s="753"/>
      <c r="L58" s="34"/>
      <c r="M58" s="34"/>
      <c r="N58" s="34"/>
    </row>
    <row r="59" spans="2:18" x14ac:dyDescent="0.25">
      <c r="B59" s="374"/>
      <c r="C59" s="374"/>
      <c r="P59" s="761"/>
    </row>
    <row r="60" spans="2:18" x14ac:dyDescent="0.25">
      <c r="B60" s="374"/>
      <c r="C60" s="374"/>
    </row>
    <row r="61" spans="2:18" x14ac:dyDescent="0.25">
      <c r="B61" s="374"/>
      <c r="C61" s="374"/>
      <c r="K61" s="34"/>
      <c r="L61" s="34"/>
      <c r="M61" s="34"/>
      <c r="N61" s="34"/>
      <c r="O61" s="34"/>
      <c r="Q61" s="876"/>
    </row>
    <row r="62" spans="2:18" x14ac:dyDescent="0.25">
      <c r="B62" s="374"/>
      <c r="C62" s="374"/>
      <c r="K62" s="34"/>
      <c r="L62" s="34"/>
      <c r="M62" s="34"/>
      <c r="N62" s="34"/>
      <c r="O62" s="34"/>
      <c r="Q62" s="876"/>
    </row>
    <row r="63" spans="2:18" x14ac:dyDescent="0.25">
      <c r="B63" s="374"/>
      <c r="C63" s="374"/>
      <c r="E63" s="31" t="s">
        <v>27</v>
      </c>
      <c r="K63" s="34"/>
      <c r="L63" s="34"/>
      <c r="M63" s="34"/>
      <c r="N63" s="34"/>
      <c r="O63" s="34"/>
      <c r="Q63" s="876"/>
    </row>
    <row r="64" spans="2:18" x14ac:dyDescent="0.25">
      <c r="B64"/>
      <c r="C64"/>
      <c r="D64"/>
      <c r="E64"/>
      <c r="K64" s="34"/>
      <c r="L64" s="34"/>
      <c r="M64" s="34"/>
      <c r="N64" s="34"/>
      <c r="P64" s="876"/>
      <c r="Q64" s="876"/>
    </row>
    <row r="65" spans="2:17" x14ac:dyDescent="0.25">
      <c r="B65"/>
      <c r="C65"/>
      <c r="D65"/>
      <c r="E65"/>
      <c r="K65" s="175"/>
      <c r="L65" s="175"/>
      <c r="M65" s="175"/>
      <c r="N65" s="175"/>
      <c r="Q65" s="876"/>
    </row>
    <row r="66" spans="2:17" x14ac:dyDescent="0.25">
      <c r="B66"/>
      <c r="C66"/>
      <c r="D66"/>
      <c r="E66"/>
      <c r="K66" s="175"/>
      <c r="L66" s="175"/>
      <c r="M66" s="175"/>
      <c r="N66" s="175"/>
      <c r="Q66" s="876"/>
    </row>
    <row r="67" spans="2:17" x14ac:dyDescent="0.25">
      <c r="B67"/>
      <c r="C67"/>
      <c r="D67"/>
      <c r="E67"/>
      <c r="Q67" s="876"/>
    </row>
    <row r="68" spans="2:17" x14ac:dyDescent="0.25">
      <c r="B68"/>
      <c r="C68"/>
      <c r="D68"/>
      <c r="E68"/>
    </row>
    <row r="69" spans="2:17" x14ac:dyDescent="0.25">
      <c r="B69"/>
      <c r="C69"/>
      <c r="D69"/>
      <c r="E69"/>
    </row>
    <row r="70" spans="2:17" x14ac:dyDescent="0.25">
      <c r="B70"/>
      <c r="C70"/>
      <c r="D70"/>
      <c r="E70"/>
      <c r="I70" s="868"/>
      <c r="J70" s="868"/>
    </row>
    <row r="71" spans="2:17" x14ac:dyDescent="0.25">
      <c r="B71"/>
      <c r="C71"/>
      <c r="D71"/>
      <c r="E71"/>
      <c r="O71" s="31" t="s">
        <v>178</v>
      </c>
    </row>
    <row r="75" spans="2:17" x14ac:dyDescent="0.25">
      <c r="I75" s="34"/>
      <c r="J75" s="34"/>
      <c r="K75" s="34"/>
      <c r="L75" s="34"/>
    </row>
    <row r="76" spans="2:17" x14ac:dyDescent="0.25">
      <c r="I76" s="34"/>
      <c r="J76" s="34"/>
      <c r="K76" s="34"/>
      <c r="L76" s="34"/>
    </row>
    <row r="77" spans="2:17" x14ac:dyDescent="0.25">
      <c r="I77" s="34"/>
      <c r="J77" s="34"/>
    </row>
  </sheetData>
  <mergeCells count="9">
    <mergeCell ref="B5:C5"/>
    <mergeCell ref="D5:F5"/>
    <mergeCell ref="C6:C7"/>
    <mergeCell ref="B6:B7"/>
    <mergeCell ref="M6:R6"/>
    <mergeCell ref="G5:I5"/>
    <mergeCell ref="H6:I6"/>
    <mergeCell ref="J6:L6"/>
    <mergeCell ref="J5:R5"/>
  </mergeCells>
  <conditionalFormatting sqref="C45">
    <cfRule type="duplicateValues" dxfId="8" priority="137"/>
  </conditionalFormatting>
  <conditionalFormatting sqref="C55:C63">
    <cfRule type="duplicateValues" dxfId="7" priority="80"/>
  </conditionalFormatting>
  <conditionalFormatting sqref="C14:E14">
    <cfRule type="duplicateValues" dxfId="6" priority="4"/>
  </conditionalFormatting>
  <conditionalFormatting sqref="C20:F20">
    <cfRule type="duplicateValues" dxfId="5" priority="5"/>
  </conditionalFormatting>
  <conditionalFormatting sqref="C26:F26">
    <cfRule type="duplicateValues" dxfId="4" priority="6"/>
  </conditionalFormatting>
  <conditionalFormatting sqref="C32:F32">
    <cfRule type="duplicateValues" dxfId="3" priority="2"/>
  </conditionalFormatting>
  <conditionalFormatting sqref="C8:G8">
    <cfRule type="duplicateValues" dxfId="2" priority="3"/>
  </conditionalFormatting>
  <conditionalFormatting sqref="D6:E6">
    <cfRule type="duplicateValues" dxfId="1" priority="132"/>
  </conditionalFormatting>
  <conditionalFormatting sqref="F14">
    <cfRule type="duplicateValues" dxfId="0" priority="1"/>
  </conditionalFormatting>
  <pageMargins left="0.7" right="0.7" top="0.75" bottom="0.75" header="0.3" footer="0.3"/>
  <pageSetup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740AB-7FFB-4FBD-9D70-9EED0C4BAAAB}">
  <sheetPr codeName="Sheet16">
    <tabColor theme="4" tint="0.59999389629810485"/>
  </sheetPr>
  <dimension ref="B2:G105"/>
  <sheetViews>
    <sheetView showGridLines="0" zoomScale="85" zoomScaleNormal="85" workbookViewId="0"/>
  </sheetViews>
  <sheetFormatPr defaultColWidth="9.28515625" defaultRowHeight="15" x14ac:dyDescent="0.25"/>
  <cols>
    <col min="1" max="1" width="2.7109375" customWidth="1"/>
    <col min="2" max="3" width="15.28515625" customWidth="1"/>
    <col min="4" max="4" width="13.42578125" bestFit="1" customWidth="1"/>
    <col min="5" max="5" width="15.28515625" customWidth="1"/>
    <col min="6" max="6" width="15.42578125" customWidth="1"/>
    <col min="7" max="7" width="8.140625" customWidth="1"/>
    <col min="11" max="11" width="15.140625" bestFit="1" customWidth="1"/>
  </cols>
  <sheetData>
    <row r="2" spans="2:7" ht="21" x14ac:dyDescent="0.35">
      <c r="B2" s="261" t="s">
        <v>0</v>
      </c>
    </row>
    <row r="3" spans="2:7" ht="21" x14ac:dyDescent="0.35">
      <c r="B3" s="203" t="s">
        <v>774</v>
      </c>
    </row>
    <row r="4" spans="2:7" x14ac:dyDescent="0.25">
      <c r="B4" s="417" t="s">
        <v>383</v>
      </c>
    </row>
    <row r="6" spans="2:7" x14ac:dyDescent="0.25">
      <c r="B6" s="1113" t="s">
        <v>775</v>
      </c>
      <c r="C6" s="1115"/>
    </row>
    <row r="7" spans="2:7" x14ac:dyDescent="0.25">
      <c r="B7" s="1132" t="s">
        <v>209</v>
      </c>
      <c r="C7" s="21">
        <f>Inputs!E70</f>
        <v>6</v>
      </c>
    </row>
    <row r="8" spans="2:7" x14ac:dyDescent="0.25">
      <c r="B8" s="1133" t="s">
        <v>210</v>
      </c>
      <c r="C8" s="21">
        <f>Inputs!E71</f>
        <v>104703</v>
      </c>
      <c r="D8" s="86"/>
    </row>
    <row r="9" spans="2:7" x14ac:dyDescent="0.25">
      <c r="B9" s="1133" t="s">
        <v>395</v>
      </c>
      <c r="C9" s="21">
        <f>C8/C7</f>
        <v>17450.5</v>
      </c>
    </row>
    <row r="10" spans="2:7" x14ac:dyDescent="0.25">
      <c r="B10" s="1133" t="s">
        <v>396</v>
      </c>
      <c r="C10" s="21">
        <f>C9/$C$12/$C$13</f>
        <v>207.74404761904762</v>
      </c>
    </row>
    <row r="11" spans="2:7" x14ac:dyDescent="0.25">
      <c r="B11" s="10" t="s">
        <v>212</v>
      </c>
      <c r="C11" s="1134">
        <f>Inputs!E69</f>
        <v>7.0240989018074823E-2</v>
      </c>
    </row>
    <row r="12" spans="2:7" x14ac:dyDescent="0.25">
      <c r="B12" s="10" t="s">
        <v>213</v>
      </c>
      <c r="C12" s="21">
        <f>Inputs!E72</f>
        <v>7</v>
      </c>
    </row>
    <row r="13" spans="2:7" x14ac:dyDescent="0.25">
      <c r="B13" s="10" t="s">
        <v>214</v>
      </c>
      <c r="C13" s="21">
        <f>Inputs!E73</f>
        <v>12</v>
      </c>
    </row>
    <row r="14" spans="2:7" x14ac:dyDescent="0.25">
      <c r="B14" s="384" t="s">
        <v>211</v>
      </c>
      <c r="C14" s="939">
        <f>E102</f>
        <v>-28141.540000025405</v>
      </c>
    </row>
    <row r="15" spans="2:7" x14ac:dyDescent="0.25">
      <c r="C15" s="14"/>
      <c r="E15" s="44"/>
    </row>
    <row r="16" spans="2:7" x14ac:dyDescent="0.25">
      <c r="B16" s="305" t="s">
        <v>215</v>
      </c>
      <c r="C16" s="306" t="s">
        <v>216</v>
      </c>
      <c r="D16" s="306" t="s">
        <v>217</v>
      </c>
      <c r="E16" s="306" t="s">
        <v>211</v>
      </c>
      <c r="F16" s="307" t="s">
        <v>218</v>
      </c>
      <c r="G16" s="60"/>
    </row>
    <row r="17" spans="2:7" x14ac:dyDescent="0.25">
      <c r="B17" s="36">
        <v>1</v>
      </c>
      <c r="C17" s="80">
        <f>PMT(C11/C13,C12*C13,C8)</f>
        <v>-1581.4826190479216</v>
      </c>
      <c r="D17" s="80">
        <f>PPMT($C$11/$C$13,B17,$C$12*$C$13,$C$8)</f>
        <v>-968.61242961796415</v>
      </c>
      <c r="E17" s="80">
        <f>IPMT($C$11/$C$13,B17,$C$12*$C$13,$C$8)</f>
        <v>-612.87018942995735</v>
      </c>
      <c r="F17" s="81">
        <f>C8+D17</f>
        <v>103734.38757038204</v>
      </c>
      <c r="G17" s="44"/>
    </row>
    <row r="18" spans="2:7" x14ac:dyDescent="0.25">
      <c r="B18" s="36">
        <f>1+B17</f>
        <v>2</v>
      </c>
      <c r="C18" s="80">
        <f>C17</f>
        <v>-1581.4826190479216</v>
      </c>
      <c r="D18" s="80">
        <f>PPMT($C$11/$C$13,B18,$C$12*$C$13,$C$8)</f>
        <v>-974.28212087059467</v>
      </c>
      <c r="E18" s="80">
        <f>IPMT($C$11/$C$13,B18,$C$12*$C$13,$C$8)</f>
        <v>-607.20049817732684</v>
      </c>
      <c r="F18" s="81">
        <f>F17+D18</f>
        <v>102760.10544951144</v>
      </c>
      <c r="G18" s="44"/>
    </row>
    <row r="19" spans="2:7" x14ac:dyDescent="0.25">
      <c r="B19" s="36">
        <f t="shared" ref="B19:B82" si="0">1+B18</f>
        <v>3</v>
      </c>
      <c r="C19" s="80">
        <f>C18</f>
        <v>-1581.4826190479216</v>
      </c>
      <c r="D19" s="80">
        <f>PPMT($C$11/$C$13,B19,$C$12*$C$13,$C$8)</f>
        <v>-979.98499918330936</v>
      </c>
      <c r="E19" s="80">
        <f>IPMT($C$11/$C$13,B19,$C$12*$C$13,$C$8)</f>
        <v>-601.49761986461203</v>
      </c>
      <c r="F19" s="81">
        <f>F18+D19</f>
        <v>101780.12045032813</v>
      </c>
      <c r="G19" s="44"/>
    </row>
    <row r="20" spans="2:7" x14ac:dyDescent="0.25">
      <c r="B20" s="36">
        <f t="shared" si="0"/>
        <v>4</v>
      </c>
      <c r="C20" s="80">
        <f t="shared" ref="C20:C83" si="1">C19</f>
        <v>-1581.4826190479216</v>
      </c>
      <c r="D20" s="80">
        <f>PPMT($C$11/$C$13,B20,$C$12*$C$13,$C$8)</f>
        <v>-985.72125881376894</v>
      </c>
      <c r="E20" s="80">
        <f>IPMT($C$11/$C$13,B20,$C$12*$C$13,$C$8)</f>
        <v>-595.76136023415268</v>
      </c>
      <c r="F20" s="81">
        <f t="shared" ref="F20:F83" si="2">F19+D20</f>
        <v>100794.39919151437</v>
      </c>
      <c r="G20" s="44"/>
    </row>
    <row r="21" spans="2:7" x14ac:dyDescent="0.25">
      <c r="B21" s="36">
        <f t="shared" si="0"/>
        <v>5</v>
      </c>
      <c r="C21" s="80">
        <f t="shared" si="1"/>
        <v>-1581.4826190479216</v>
      </c>
      <c r="D21" s="80">
        <f>PPMT($C$11/$C$13,B21,$C$12*$C$13,$C$8)</f>
        <v>-991.49109515670398</v>
      </c>
      <c r="E21" s="80">
        <f>IPMT($C$11/$C$13,B21,$C$12*$C$13,$C$8)</f>
        <v>-589.99152389121764</v>
      </c>
      <c r="F21" s="81">
        <f t="shared" si="2"/>
        <v>99802.908096357671</v>
      </c>
      <c r="G21" s="44"/>
    </row>
    <row r="22" spans="2:7" x14ac:dyDescent="0.25">
      <c r="B22" s="36">
        <f t="shared" si="0"/>
        <v>6</v>
      </c>
      <c r="C22" s="80">
        <f t="shared" si="1"/>
        <v>-1581.4826190479216</v>
      </c>
      <c r="D22" s="80">
        <f>PPMT($C$11/$C$13,B22,$C$12*$C$13,$C$8)</f>
        <v>-997.29470475057224</v>
      </c>
      <c r="E22" s="80">
        <f>IPMT($C$11/$C$13,B22,$C$12*$C$13,$C$8)</f>
        <v>-584.18791429734915</v>
      </c>
      <c r="F22" s="81">
        <f t="shared" si="2"/>
        <v>98805.613391607098</v>
      </c>
      <c r="G22" s="44"/>
    </row>
    <row r="23" spans="2:7" x14ac:dyDescent="0.25">
      <c r="B23" s="36">
        <f t="shared" si="0"/>
        <v>7</v>
      </c>
      <c r="C23" s="80">
        <f t="shared" si="1"/>
        <v>-1581.4826190479216</v>
      </c>
      <c r="D23" s="80">
        <f>PPMT($C$11/$C$13,B23,$C$12*$C$13,$C$8)</f>
        <v>-1003.1322852842532</v>
      </c>
      <c r="E23" s="80">
        <f>IPMT($C$11/$C$13,B23,$C$12*$C$13,$C$8)</f>
        <v>-578.35033376366835</v>
      </c>
      <c r="F23" s="81">
        <f t="shared" si="2"/>
        <v>97802.481106322841</v>
      </c>
      <c r="G23" s="44"/>
    </row>
    <row r="24" spans="2:7" x14ac:dyDescent="0.25">
      <c r="B24" s="36">
        <f t="shared" si="0"/>
        <v>8</v>
      </c>
      <c r="C24" s="80">
        <f t="shared" si="1"/>
        <v>-1581.4826190479216</v>
      </c>
      <c r="D24" s="80">
        <f>PPMT($C$11/$C$13,B24,$C$12*$C$13,$C$8)</f>
        <v>-1009.0040356037803</v>
      </c>
      <c r="E24" s="80">
        <f>IPMT($C$11/$C$13,B24,$C$12*$C$13,$C$8)</f>
        <v>-572.47858344414112</v>
      </c>
      <c r="F24" s="81">
        <f t="shared" si="2"/>
        <v>96793.477070719062</v>
      </c>
      <c r="G24" s="44"/>
    </row>
    <row r="25" spans="2:7" x14ac:dyDescent="0.25">
      <c r="B25" s="36">
        <f t="shared" si="0"/>
        <v>9</v>
      </c>
      <c r="C25" s="80">
        <f t="shared" si="1"/>
        <v>-1581.4826190479216</v>
      </c>
      <c r="D25" s="80">
        <f>PPMT($C$11/$C$13,B25,$C$12*$C$13,$C$8)</f>
        <v>-1014.9101557191169</v>
      </c>
      <c r="E25" s="80">
        <f>IPMT($C$11/$C$13,B25,$C$12*$C$13,$C$8)</f>
        <v>-566.57246332880447</v>
      </c>
      <c r="F25" s="81">
        <f t="shared" si="2"/>
        <v>95778.566914999945</v>
      </c>
      <c r="G25" s="44"/>
    </row>
    <row r="26" spans="2:7" x14ac:dyDescent="0.25">
      <c r="B26" s="36">
        <f t="shared" si="0"/>
        <v>10</v>
      </c>
      <c r="C26" s="80">
        <f t="shared" si="1"/>
        <v>-1581.4826190479216</v>
      </c>
      <c r="D26" s="80">
        <f>PPMT($C$11/$C$13,B26,$C$12*$C$13,$C$8)</f>
        <v>-1020.8508468109669</v>
      </c>
      <c r="E26" s="80">
        <f>IPMT($C$11/$C$13,B26,$C$12*$C$13,$C$8)</f>
        <v>-560.63177223695459</v>
      </c>
      <c r="F26" s="81">
        <f t="shared" si="2"/>
        <v>94757.71606818898</v>
      </c>
      <c r="G26" s="44"/>
    </row>
    <row r="27" spans="2:7" x14ac:dyDescent="0.25">
      <c r="B27" s="36">
        <f t="shared" si="0"/>
        <v>11</v>
      </c>
      <c r="C27" s="80">
        <f t="shared" si="1"/>
        <v>-1581.4826190479216</v>
      </c>
      <c r="D27" s="80">
        <f>PPMT($C$11/$C$13,B27,$C$12*$C$13,$C$8)</f>
        <v>-1026.8263112376287</v>
      </c>
      <c r="E27" s="80">
        <f>IPMT($C$11/$C$13,B27,$C$12*$C$13,$C$8)</f>
        <v>-554.6563078102929</v>
      </c>
      <c r="F27" s="81">
        <f t="shared" si="2"/>
        <v>93730.88975695135</v>
      </c>
      <c r="G27" s="44"/>
    </row>
    <row r="28" spans="2:7" x14ac:dyDescent="0.25">
      <c r="B28" s="36">
        <f t="shared" si="0"/>
        <v>12</v>
      </c>
      <c r="C28" s="80">
        <f t="shared" si="1"/>
        <v>-1581.4826190479216</v>
      </c>
      <c r="D28" s="80">
        <f>PPMT($C$11/$C$13,B28,$C$12*$C$13,$C$8)</f>
        <v>-1032.836752541888</v>
      </c>
      <c r="E28" s="80">
        <f>IPMT($C$11/$C$13,B28,$C$12*$C$13,$C$8)</f>
        <v>-548.64586650603349</v>
      </c>
      <c r="F28" s="81">
        <f t="shared" si="2"/>
        <v>92698.053004409463</v>
      </c>
      <c r="G28" s="44"/>
    </row>
    <row r="29" spans="2:7" x14ac:dyDescent="0.25">
      <c r="B29" s="36">
        <f t="shared" si="0"/>
        <v>13</v>
      </c>
      <c r="C29" s="80">
        <f t="shared" si="1"/>
        <v>-1581.4826190479216</v>
      </c>
      <c r="D29" s="80">
        <f>PPMT($C$11/$C$13,B29,$C$12*$C$13,$C$8)</f>
        <v>-1038.8823754579514</v>
      </c>
      <c r="E29" s="80">
        <f>IPMT($C$11/$C$13,B29,$C$12*$C$13,$C$8)</f>
        <v>-542.6002435899702</v>
      </c>
      <c r="F29" s="81">
        <f t="shared" si="2"/>
        <v>91659.170628951513</v>
      </c>
      <c r="G29" s="44"/>
    </row>
    <row r="30" spans="2:7" x14ac:dyDescent="0.25">
      <c r="B30" s="36">
        <f t="shared" si="0"/>
        <v>14</v>
      </c>
      <c r="C30" s="80">
        <f t="shared" si="1"/>
        <v>-1581.4826190479216</v>
      </c>
      <c r="D30" s="80">
        <f>PPMT($C$11/$C$13,B30,$C$12*$C$13,$C$8)</f>
        <v>-1044.9633859184191</v>
      </c>
      <c r="E30" s="80">
        <f>IPMT($C$11/$C$13,B30,$C$12*$C$13,$C$8)</f>
        <v>-536.51923312950237</v>
      </c>
      <c r="F30" s="81">
        <f t="shared" si="2"/>
        <v>90614.207243033088</v>
      </c>
      <c r="G30" s="44"/>
    </row>
    <row r="31" spans="2:7" x14ac:dyDescent="0.25">
      <c r="B31" s="36">
        <f t="shared" si="0"/>
        <v>15</v>
      </c>
      <c r="C31" s="80">
        <f t="shared" si="1"/>
        <v>-1581.4826190479216</v>
      </c>
      <c r="D31" s="80">
        <f>PPMT($C$11/$C$13,B31,$C$12*$C$13,$C$8)</f>
        <v>-1051.0799910613011</v>
      </c>
      <c r="E31" s="80">
        <f>IPMT($C$11/$C$13,B31,$C$12*$C$13,$C$8)</f>
        <v>-530.40262798662025</v>
      </c>
      <c r="F31" s="81">
        <f t="shared" si="2"/>
        <v>89563.12725197179</v>
      </c>
      <c r="G31" s="44"/>
    </row>
    <row r="32" spans="2:7" x14ac:dyDescent="0.25">
      <c r="B32" s="36">
        <f t="shared" si="0"/>
        <v>16</v>
      </c>
      <c r="C32" s="80">
        <f t="shared" si="1"/>
        <v>-1581.4826190479216</v>
      </c>
      <c r="D32" s="80">
        <f>PPMT($C$11/$C$13,B32,$C$12*$C$13,$C$8)</f>
        <v>-1057.2323992370723</v>
      </c>
      <c r="E32" s="80">
        <f>IPMT($C$11/$C$13,B32,$C$12*$C$13,$C$8)</f>
        <v>-524.2502198108491</v>
      </c>
      <c r="F32" s="81">
        <f t="shared" si="2"/>
        <v>88505.894852734724</v>
      </c>
      <c r="G32" s="44"/>
    </row>
    <row r="33" spans="2:7" x14ac:dyDescent="0.25">
      <c r="B33" s="36">
        <f t="shared" si="0"/>
        <v>17</v>
      </c>
      <c r="C33" s="80">
        <f t="shared" si="1"/>
        <v>-1581.4826190479216</v>
      </c>
      <c r="D33" s="80">
        <f>PPMT($C$11/$C$13,B33,$C$12*$C$13,$C$8)</f>
        <v>-1063.4208200157696</v>
      </c>
      <c r="E33" s="80">
        <f>IPMT($C$11/$C$13,B33,$C$12*$C$13,$C$8)</f>
        <v>-518.06179903215207</v>
      </c>
      <c r="F33" s="81">
        <f t="shared" si="2"/>
        <v>87442.47403271895</v>
      </c>
      <c r="G33" s="44"/>
    </row>
    <row r="34" spans="2:7" x14ac:dyDescent="0.25">
      <c r="B34" s="36">
        <f t="shared" si="0"/>
        <v>18</v>
      </c>
      <c r="C34" s="80">
        <f t="shared" si="1"/>
        <v>-1581.4826190479216</v>
      </c>
      <c r="D34" s="80">
        <f>PPMT($C$11/$C$13,B34,$C$12*$C$13,$C$8)</f>
        <v>-1069.6454641941295</v>
      </c>
      <c r="E34" s="80">
        <f>IPMT($C$11/$C$13,B34,$C$12*$C$13,$C$8)</f>
        <v>-511.83715485379207</v>
      </c>
      <c r="F34" s="81">
        <f t="shared" si="2"/>
        <v>86372.828568524827</v>
      </c>
      <c r="G34" s="44"/>
    </row>
    <row r="35" spans="2:7" x14ac:dyDescent="0.25">
      <c r="B35" s="36">
        <f t="shared" si="0"/>
        <v>19</v>
      </c>
      <c r="C35" s="80">
        <f t="shared" si="1"/>
        <v>-1581.4826190479216</v>
      </c>
      <c r="D35" s="80">
        <f>PPMT($C$11/$C$13,B35,$C$12*$C$13,$C$8)</f>
        <v>-1075.9065438027706</v>
      </c>
      <c r="E35" s="80">
        <f>IPMT($C$11/$C$13,B35,$C$12*$C$13,$C$8)</f>
        <v>-505.57607524515089</v>
      </c>
      <c r="F35" s="81">
        <f t="shared" si="2"/>
        <v>85296.922024722051</v>
      </c>
      <c r="G35" s="44"/>
    </row>
    <row r="36" spans="2:7" x14ac:dyDescent="0.25">
      <c r="B36" s="36">
        <f t="shared" si="0"/>
        <v>20</v>
      </c>
      <c r="C36" s="80">
        <f t="shared" si="1"/>
        <v>-1581.4826190479216</v>
      </c>
      <c r="D36" s="80">
        <f>PPMT($C$11/$C$13,B36,$C$12*$C$13,$C$8)</f>
        <v>-1082.2042721134144</v>
      </c>
      <c r="E36" s="80">
        <f>IPMT($C$11/$C$13,B36,$C$12*$C$13,$C$8)</f>
        <v>-499.27834693450723</v>
      </c>
      <c r="F36" s="81">
        <f t="shared" si="2"/>
        <v>84214.717752608631</v>
      </c>
      <c r="G36" s="44"/>
    </row>
    <row r="37" spans="2:7" x14ac:dyDescent="0.25">
      <c r="B37" s="36">
        <f t="shared" si="0"/>
        <v>21</v>
      </c>
      <c r="C37" s="80">
        <f t="shared" si="1"/>
        <v>-1581.4826190479216</v>
      </c>
      <c r="D37" s="80">
        <f>PPMT($C$11/$C$13,B37,$C$12*$C$13,$C$8)</f>
        <v>-1088.5388636461505</v>
      </c>
      <c r="E37" s="80">
        <f>IPMT($C$11/$C$13,B37,$C$12*$C$13,$C$8)</f>
        <v>-492.94375540177117</v>
      </c>
      <c r="F37" s="81">
        <f t="shared" si="2"/>
        <v>83126.178888962473</v>
      </c>
      <c r="G37" s="44"/>
    </row>
    <row r="38" spans="2:7" x14ac:dyDescent="0.25">
      <c r="B38" s="36">
        <f t="shared" si="0"/>
        <v>22</v>
      </c>
      <c r="C38" s="80">
        <f t="shared" si="1"/>
        <v>-1581.4826190479216</v>
      </c>
      <c r="D38" s="80">
        <f>PPMT($C$11/$C$13,B38,$C$12*$C$13,$C$8)</f>
        <v>-1094.9105341767436</v>
      </c>
      <c r="E38" s="80">
        <f>IPMT($C$11/$C$13,B38,$C$12*$C$13,$C$8)</f>
        <v>-486.57208487117805</v>
      </c>
      <c r="F38" s="81">
        <f t="shared" si="2"/>
        <v>82031.26835478573</v>
      </c>
      <c r="G38" s="44"/>
    </row>
    <row r="39" spans="2:7" x14ac:dyDescent="0.25">
      <c r="B39" s="36">
        <f t="shared" si="0"/>
        <v>23</v>
      </c>
      <c r="C39" s="80">
        <f t="shared" si="1"/>
        <v>-1581.4826190479216</v>
      </c>
      <c r="D39" s="80">
        <f>PPMT($C$11/$C$13,B39,$C$12*$C$13,$C$8)</f>
        <v>-1101.3195007439836</v>
      </c>
      <c r="E39" s="80">
        <f>IPMT($C$11/$C$13,B39,$C$12*$C$13,$C$8)</f>
        <v>-480.16311830393778</v>
      </c>
      <c r="F39" s="81">
        <f t="shared" si="2"/>
        <v>80929.948854041751</v>
      </c>
      <c r="G39" s="44"/>
    </row>
    <row r="40" spans="2:7" x14ac:dyDescent="0.25">
      <c r="B40" s="36">
        <f t="shared" si="0"/>
        <v>24</v>
      </c>
      <c r="C40" s="80">
        <f t="shared" si="1"/>
        <v>-1581.4826190479216</v>
      </c>
      <c r="D40" s="80">
        <f>PPMT($C$11/$C$13,B40,$C$12*$C$13,$C$8)</f>
        <v>-1107.7659816570795</v>
      </c>
      <c r="E40" s="80">
        <f>IPMT($C$11/$C$13,B40,$C$12*$C$13,$C$8)</f>
        <v>-473.7166373908421</v>
      </c>
      <c r="F40" s="81">
        <f t="shared" si="2"/>
        <v>79822.18287238467</v>
      </c>
      <c r="G40" s="44"/>
    </row>
    <row r="41" spans="2:7" x14ac:dyDescent="0.25">
      <c r="B41" s="36">
        <f t="shared" si="0"/>
        <v>25</v>
      </c>
      <c r="C41" s="80">
        <f t="shared" si="1"/>
        <v>-1581.4826190479216</v>
      </c>
      <c r="D41" s="80">
        <f>PPMT($C$11/$C$13,B41,$C$12*$C$13,$C$8)</f>
        <v>-1114.2501965030938</v>
      </c>
      <c r="E41" s="80">
        <f>IPMT($C$11/$C$13,B41,$C$12*$C$13,$C$8)</f>
        <v>-467.23242254482761</v>
      </c>
      <c r="F41" s="81">
        <f t="shared" si="2"/>
        <v>78707.932675881573</v>
      </c>
      <c r="G41" s="44"/>
    </row>
    <row r="42" spans="2:7" x14ac:dyDescent="0.25">
      <c r="B42" s="36">
        <f t="shared" si="0"/>
        <v>26</v>
      </c>
      <c r="C42" s="80">
        <f t="shared" si="1"/>
        <v>-1581.4826190479216</v>
      </c>
      <c r="D42" s="80">
        <f>PPMT($C$11/$C$13,B42,$C$12*$C$13,$C$8)</f>
        <v>-1120.7723661544239</v>
      </c>
      <c r="E42" s="80">
        <f>IPMT($C$11/$C$13,B42,$C$12*$C$13,$C$8)</f>
        <v>-460.71025289349762</v>
      </c>
      <c r="F42" s="81">
        <f t="shared" si="2"/>
        <v>77587.160309727144</v>
      </c>
      <c r="G42" s="44"/>
    </row>
    <row r="43" spans="2:7" x14ac:dyDescent="0.25">
      <c r="B43" s="36">
        <f t="shared" si="0"/>
        <v>27</v>
      </c>
      <c r="C43" s="80">
        <f t="shared" si="1"/>
        <v>-1581.4826190479216</v>
      </c>
      <c r="D43" s="80">
        <f>PPMT($C$11/$C$13,B43,$C$12*$C$13,$C$8)</f>
        <v>-1127.3327127763253</v>
      </c>
      <c r="E43" s="80">
        <f>IPMT($C$11/$C$13,B43,$C$12*$C$13,$C$8)</f>
        <v>-454.14990627159636</v>
      </c>
      <c r="F43" s="81">
        <f t="shared" si="2"/>
        <v>76459.827596950825</v>
      </c>
      <c r="G43" s="44"/>
    </row>
    <row r="44" spans="2:7" x14ac:dyDescent="0.25">
      <c r="B44" s="36">
        <f t="shared" si="0"/>
        <v>28</v>
      </c>
      <c r="C44" s="80">
        <f t="shared" si="1"/>
        <v>-1581.4826190479216</v>
      </c>
      <c r="D44" s="80">
        <f>PPMT($C$11/$C$13,B44,$C$12*$C$13,$C$8)</f>
        <v>-1133.9314598344783</v>
      </c>
      <c r="E44" s="80">
        <f>IPMT($C$11/$C$13,B44,$C$12*$C$13,$C$8)</f>
        <v>-447.5511592134431</v>
      </c>
      <c r="F44" s="81">
        <f t="shared" si="2"/>
        <v>75325.896137116346</v>
      </c>
      <c r="G44" s="44"/>
    </row>
    <row r="45" spans="2:7" x14ac:dyDescent="0.25">
      <c r="B45" s="36">
        <f t="shared" si="0"/>
        <v>29</v>
      </c>
      <c r="C45" s="80">
        <f t="shared" si="1"/>
        <v>-1581.4826190479216</v>
      </c>
      <c r="D45" s="80">
        <f>PPMT($C$11/$C$13,B45,$C$12*$C$13,$C$8)</f>
        <v>-1140.5688321026018</v>
      </c>
      <c r="E45" s="80">
        <f>IPMT($C$11/$C$13,B45,$C$12*$C$13,$C$8)</f>
        <v>-440.9137869453196</v>
      </c>
      <c r="F45" s="81">
        <f t="shared" si="2"/>
        <v>74185.32730501375</v>
      </c>
      <c r="G45" s="44"/>
    </row>
    <row r="46" spans="2:7" x14ac:dyDescent="0.25">
      <c r="B46" s="36">
        <f t="shared" si="0"/>
        <v>30</v>
      </c>
      <c r="C46" s="80">
        <f t="shared" si="1"/>
        <v>-1581.4826190479216</v>
      </c>
      <c r="D46" s="80">
        <f>PPMT($C$11/$C$13,B46,$C$12*$C$13,$C$8)</f>
        <v>-1147.2450556701085</v>
      </c>
      <c r="E46" s="80">
        <f>IPMT($C$11/$C$13,B46,$C$12*$C$13,$C$8)</f>
        <v>-434.23756337781305</v>
      </c>
      <c r="F46" s="81">
        <f t="shared" si="2"/>
        <v>73038.082249343643</v>
      </c>
      <c r="G46" s="44"/>
    </row>
    <row r="47" spans="2:7" x14ac:dyDescent="0.25">
      <c r="B47" s="36">
        <f t="shared" si="0"/>
        <v>31</v>
      </c>
      <c r="C47" s="80">
        <f t="shared" si="1"/>
        <v>-1581.4826190479216</v>
      </c>
      <c r="D47" s="80">
        <f>PPMT($C$11/$C$13,B47,$C$12*$C$13,$C$8)</f>
        <v>-1153.9603579498055</v>
      </c>
      <c r="E47" s="80">
        <f>IPMT($C$11/$C$13,B47,$C$12*$C$13,$C$8)</f>
        <v>-427.52226109811608</v>
      </c>
      <c r="F47" s="81">
        <f t="shared" si="2"/>
        <v>71884.121891393836</v>
      </c>
      <c r="G47" s="44"/>
    </row>
    <row r="48" spans="2:7" x14ac:dyDescent="0.25">
      <c r="B48" s="36">
        <f t="shared" si="0"/>
        <v>32</v>
      </c>
      <c r="C48" s="80">
        <f t="shared" si="1"/>
        <v>-1581.4826190479216</v>
      </c>
      <c r="D48" s="80">
        <f>PPMT($C$11/$C$13,B48,$C$12*$C$13,$C$8)</f>
        <v>-1160.7149676856425</v>
      </c>
      <c r="E48" s="80">
        <f>IPMT($C$11/$C$13,B48,$C$12*$C$13,$C$8)</f>
        <v>-420.76765136227891</v>
      </c>
      <c r="F48" s="81">
        <f t="shared" si="2"/>
        <v>70723.406923708186</v>
      </c>
      <c r="G48" s="44"/>
    </row>
    <row r="49" spans="2:7" x14ac:dyDescent="0.25">
      <c r="B49" s="36">
        <f t="shared" si="0"/>
        <v>33</v>
      </c>
      <c r="C49" s="80">
        <f t="shared" si="1"/>
        <v>-1581.4826190479216</v>
      </c>
      <c r="D49" s="80">
        <f>PPMT($C$11/$C$13,B49,$C$12*$C$13,$C$8)</f>
        <v>-1167.5091149605028</v>
      </c>
      <c r="E49" s="80">
        <f>IPMT($C$11/$C$13,B49,$C$12*$C$13,$C$8)</f>
        <v>-413.97350408741863</v>
      </c>
      <c r="F49" s="81">
        <f t="shared" si="2"/>
        <v>69555.897808747686</v>
      </c>
      <c r="G49" s="44"/>
    </row>
    <row r="50" spans="2:7" x14ac:dyDescent="0.25">
      <c r="B50" s="36">
        <f t="shared" si="0"/>
        <v>34</v>
      </c>
      <c r="C50" s="80">
        <f t="shared" si="1"/>
        <v>-1581.4826190479216</v>
      </c>
      <c r="D50" s="80">
        <f>PPMT($C$11/$C$13,B50,$C$12*$C$13,$C$8)</f>
        <v>-1174.3430312040398</v>
      </c>
      <c r="E50" s="80">
        <f>IPMT($C$11/$C$13,B50,$C$12*$C$13,$C$8)</f>
        <v>-407.13958784388166</v>
      </c>
      <c r="F50" s="81">
        <f t="shared" si="2"/>
        <v>68381.554777543643</v>
      </c>
      <c r="G50" s="44"/>
    </row>
    <row r="51" spans="2:7" x14ac:dyDescent="0.25">
      <c r="B51" s="36">
        <f t="shared" si="0"/>
        <v>35</v>
      </c>
      <c r="C51" s="80">
        <f t="shared" si="1"/>
        <v>-1581.4826190479216</v>
      </c>
      <c r="D51" s="80">
        <f>PPMT($C$11/$C$13,B51,$C$12*$C$13,$C$8)</f>
        <v>-1181.216949200561</v>
      </c>
      <c r="E51" s="80">
        <f>IPMT($C$11/$C$13,B51,$C$12*$C$13,$C$8)</f>
        <v>-400.26566984736058</v>
      </c>
      <c r="F51" s="81">
        <f t="shared" si="2"/>
        <v>67200.337828343079</v>
      </c>
      <c r="G51" s="44"/>
    </row>
    <row r="52" spans="2:7" x14ac:dyDescent="0.25">
      <c r="B52" s="36">
        <f t="shared" si="0"/>
        <v>36</v>
      </c>
      <c r="C52" s="80">
        <f t="shared" si="1"/>
        <v>-1581.4826190479216</v>
      </c>
      <c r="D52" s="80">
        <f>PPMT($C$11/$C$13,B52,$C$12*$C$13,$C$8)</f>
        <v>-1188.1311030969578</v>
      </c>
      <c r="E52" s="80">
        <f>IPMT($C$11/$C$13,B52,$C$12*$C$13,$C$8)</f>
        <v>-393.3515159509638</v>
      </c>
      <c r="F52" s="81">
        <f t="shared" si="2"/>
        <v>66012.206725246127</v>
      </c>
      <c r="G52" s="44"/>
    </row>
    <row r="53" spans="2:7" x14ac:dyDescent="0.25">
      <c r="B53" s="36">
        <f t="shared" si="0"/>
        <v>37</v>
      </c>
      <c r="C53" s="80">
        <f t="shared" si="1"/>
        <v>-1581.4826190479216</v>
      </c>
      <c r="D53" s="80">
        <f>PPMT($C$11/$C$13,B53,$C$12*$C$13,$C$8)</f>
        <v>-1195.0857284106801</v>
      </c>
      <c r="E53" s="80">
        <f>IPMT($C$11/$C$13,B53,$C$12*$C$13,$C$8)</f>
        <v>-386.3968906372416</v>
      </c>
      <c r="F53" s="81">
        <f t="shared" si="2"/>
        <v>64817.120996835445</v>
      </c>
      <c r="G53" s="44"/>
    </row>
    <row r="54" spans="2:7" x14ac:dyDescent="0.25">
      <c r="B54" s="36">
        <f t="shared" si="0"/>
        <v>38</v>
      </c>
      <c r="C54" s="80">
        <f t="shared" si="1"/>
        <v>-1581.4826190479216</v>
      </c>
      <c r="D54" s="80">
        <f>PPMT($C$11/$C$13,B54,$C$12*$C$13,$C$8)</f>
        <v>-1202.0810620377595</v>
      </c>
      <c r="E54" s="80">
        <f>IPMT($C$11/$C$13,B54,$C$12*$C$13,$C$8)</f>
        <v>-379.40155701016221</v>
      </c>
      <c r="F54" s="81">
        <f t="shared" si="2"/>
        <v>63615.039934797685</v>
      </c>
      <c r="G54" s="44"/>
    </row>
    <row r="55" spans="2:7" x14ac:dyDescent="0.25">
      <c r="B55" s="36">
        <f t="shared" si="0"/>
        <v>39</v>
      </c>
      <c r="C55" s="80">
        <f t="shared" si="1"/>
        <v>-1581.4826190479216</v>
      </c>
      <c r="D55" s="80">
        <f>PPMT($C$11/$C$13,B55,$C$12*$C$13,$C$8)</f>
        <v>-1209.1173422608783</v>
      </c>
      <c r="E55" s="80">
        <f>IPMT($C$11/$C$13,B55,$C$12*$C$13,$C$8)</f>
        <v>-372.365276787043</v>
      </c>
      <c r="F55" s="81">
        <f t="shared" si="2"/>
        <v>62405.922592536808</v>
      </c>
      <c r="G55" s="44"/>
    </row>
    <row r="56" spans="2:7" x14ac:dyDescent="0.25">
      <c r="B56" s="36">
        <f t="shared" si="0"/>
        <v>40</v>
      </c>
      <c r="C56" s="80">
        <f t="shared" si="1"/>
        <v>-1581.4826190479216</v>
      </c>
      <c r="D56" s="80">
        <f>PPMT($C$11/$C$13,B56,$C$12*$C$13,$C$8)</f>
        <v>-1216.1948087574876</v>
      </c>
      <c r="E56" s="80">
        <f>IPMT($C$11/$C$13,B56,$C$12*$C$13,$C$8)</f>
        <v>-365.28781029043392</v>
      </c>
      <c r="F56" s="81">
        <f t="shared" si="2"/>
        <v>61189.727783779323</v>
      </c>
      <c r="G56" s="44"/>
    </row>
    <row r="57" spans="2:7" x14ac:dyDescent="0.25">
      <c r="B57" s="36">
        <f t="shared" si="0"/>
        <v>41</v>
      </c>
      <c r="C57" s="80">
        <f t="shared" si="1"/>
        <v>-1581.4826190479216</v>
      </c>
      <c r="D57" s="80">
        <f>PPMT($C$11/$C$13,B57,$C$12*$C$13,$C$8)</f>
        <v>-1223.3137026079689</v>
      </c>
      <c r="E57" s="80">
        <f>IPMT($C$11/$C$13,B57,$C$12*$C$13,$C$8)</f>
        <v>-358.16891643995268</v>
      </c>
      <c r="F57" s="81">
        <f t="shared" si="2"/>
        <v>59966.414081171351</v>
      </c>
      <c r="G57" s="44"/>
    </row>
    <row r="58" spans="2:7" x14ac:dyDescent="0.25">
      <c r="B58" s="36">
        <f t="shared" si="0"/>
        <v>42</v>
      </c>
      <c r="C58" s="80">
        <f t="shared" si="1"/>
        <v>-1581.4826190479216</v>
      </c>
      <c r="D58" s="80">
        <f>PPMT($C$11/$C$13,B58,$C$12*$C$13,$C$8)</f>
        <v>-1230.4742663038478</v>
      </c>
      <c r="E58" s="80">
        <f>IPMT($C$11/$C$13,B58,$C$12*$C$13,$C$8)</f>
        <v>-351.00835274407376</v>
      </c>
      <c r="F58" s="81">
        <f t="shared" si="2"/>
        <v>58735.939814867503</v>
      </c>
      <c r="G58" s="44"/>
    </row>
    <row r="59" spans="2:7" x14ac:dyDescent="0.25">
      <c r="B59" s="36">
        <f t="shared" si="0"/>
        <v>43</v>
      </c>
      <c r="C59" s="80">
        <f t="shared" si="1"/>
        <v>-1581.4826190479216</v>
      </c>
      <c r="D59" s="80">
        <f>PPMT($C$11/$C$13,B59,$C$12*$C$13,$C$8)</f>
        <v>-1237.6767437560538</v>
      </c>
      <c r="E59" s="80">
        <f>IPMT($C$11/$C$13,B59,$C$12*$C$13,$C$8)</f>
        <v>-343.80587529186778</v>
      </c>
      <c r="F59" s="81">
        <f t="shared" si="2"/>
        <v>57498.263071111447</v>
      </c>
      <c r="G59" s="44"/>
    </row>
    <row r="60" spans="2:7" x14ac:dyDescent="0.25">
      <c r="B60" s="36">
        <f t="shared" si="0"/>
        <v>44</v>
      </c>
      <c r="C60" s="80">
        <f t="shared" si="1"/>
        <v>-1581.4826190479216</v>
      </c>
      <c r="D60" s="80">
        <f>PPMT($C$11/$C$13,B60,$C$12*$C$13,$C$8)</f>
        <v>-1244.9213803032285</v>
      </c>
      <c r="E60" s="80">
        <f>IPMT($C$11/$C$13,B60,$C$12*$C$13,$C$8)</f>
        <v>-336.56123874469307</v>
      </c>
      <c r="F60" s="81">
        <f t="shared" si="2"/>
        <v>56253.341690808222</v>
      </c>
      <c r="G60" s="44"/>
    </row>
    <row r="61" spans="2:7" x14ac:dyDescent="0.25">
      <c r="B61" s="36">
        <f t="shared" si="0"/>
        <v>45</v>
      </c>
      <c r="C61" s="80">
        <f t="shared" si="1"/>
        <v>-1581.4826190479216</v>
      </c>
      <c r="D61" s="80">
        <f>PPMT($C$11/$C$13,B61,$C$12*$C$13,$C$8)</f>
        <v>-1252.2084227200821</v>
      </c>
      <c r="E61" s="80">
        <f>IPMT($C$11/$C$13,B61,$C$12*$C$13,$C$8)</f>
        <v>-329.27419632783932</v>
      </c>
      <c r="F61" s="81">
        <f t="shared" si="2"/>
        <v>55001.133268088139</v>
      </c>
      <c r="G61" s="44"/>
    </row>
    <row r="62" spans="2:7" x14ac:dyDescent="0.25">
      <c r="B62" s="36">
        <f t="shared" si="0"/>
        <v>46</v>
      </c>
      <c r="C62" s="80">
        <f t="shared" si="1"/>
        <v>-1581.4826190479216</v>
      </c>
      <c r="D62" s="80">
        <f>PPMT($C$11/$C$13,B62,$C$12*$C$13,$C$8)</f>
        <v>-1259.5381192258008</v>
      </c>
      <c r="E62" s="80">
        <f>IPMT($C$11/$C$13,B62,$C$12*$C$13,$C$8)</f>
        <v>-321.9444998221208</v>
      </c>
      <c r="F62" s="81">
        <f t="shared" si="2"/>
        <v>53741.59514886234</v>
      </c>
      <c r="G62" s="44"/>
    </row>
    <row r="63" spans="2:7" x14ac:dyDescent="0.25">
      <c r="B63" s="36">
        <f t="shared" si="0"/>
        <v>47</v>
      </c>
      <c r="C63" s="80">
        <f t="shared" si="1"/>
        <v>-1581.4826190479216</v>
      </c>
      <c r="D63" s="80">
        <f>PPMT($C$11/$C$13,B63,$C$12*$C$13,$C$8)</f>
        <v>-1266.9107194924995</v>
      </c>
      <c r="E63" s="80">
        <f>IPMT($C$11/$C$13,B63,$C$12*$C$13,$C$8)</f>
        <v>-314.57189955542191</v>
      </c>
      <c r="F63" s="81">
        <f t="shared" si="2"/>
        <v>52474.684429369838</v>
      </c>
      <c r="G63" s="44"/>
    </row>
    <row r="64" spans="2:7" x14ac:dyDescent="0.25">
      <c r="B64" s="36">
        <f t="shared" si="0"/>
        <v>48</v>
      </c>
      <c r="C64" s="80">
        <f t="shared" si="1"/>
        <v>-1581.4826190479216</v>
      </c>
      <c r="D64" s="80">
        <f>PPMT($C$11/$C$13,B64,$C$12*$C$13,$C$8)</f>
        <v>-1274.3264746537291</v>
      </c>
      <c r="E64" s="80">
        <f>IPMT($C$11/$C$13,B64,$C$12*$C$13,$C$8)</f>
        <v>-307.15614439419244</v>
      </c>
      <c r="F64" s="81">
        <f t="shared" si="2"/>
        <v>51200.357954716106</v>
      </c>
      <c r="G64" s="44"/>
    </row>
    <row r="65" spans="2:7" x14ac:dyDescent="0.25">
      <c r="B65" s="36">
        <f t="shared" si="0"/>
        <v>49</v>
      </c>
      <c r="C65" s="80">
        <f t="shared" si="1"/>
        <v>-1581.4826190479216</v>
      </c>
      <c r="D65" s="80">
        <f>PPMT($C$11/$C$13,B65,$C$12*$C$13,$C$8)</f>
        <v>-1281.7856373130287</v>
      </c>
      <c r="E65" s="80">
        <f>IPMT($C$11/$C$13,B65,$C$12*$C$13,$C$8)</f>
        <v>-299.69698173489292</v>
      </c>
      <c r="F65" s="81">
        <f t="shared" si="2"/>
        <v>49918.572317403079</v>
      </c>
      <c r="G65" s="44"/>
    </row>
    <row r="66" spans="2:7" x14ac:dyDescent="0.25">
      <c r="B66" s="36">
        <f t="shared" si="0"/>
        <v>50</v>
      </c>
      <c r="C66" s="80">
        <f t="shared" si="1"/>
        <v>-1581.4826190479216</v>
      </c>
      <c r="D66" s="80">
        <f>PPMT($C$11/$C$13,B66,$C$12*$C$13,$C$8)</f>
        <v>-1289.2884615525311</v>
      </c>
      <c r="E66" s="80">
        <f>IPMT($C$11/$C$13,B66,$C$12*$C$13,$C$8)</f>
        <v>-292.19415749539036</v>
      </c>
      <c r="F66" s="81">
        <f t="shared" si="2"/>
        <v>48629.283855850546</v>
      </c>
      <c r="G66" s="44"/>
    </row>
    <row r="67" spans="2:7" x14ac:dyDescent="0.25">
      <c r="B67" s="36">
        <f t="shared" si="0"/>
        <v>51</v>
      </c>
      <c r="C67" s="80">
        <f t="shared" si="1"/>
        <v>-1581.4826190479216</v>
      </c>
      <c r="D67" s="80">
        <f>PPMT($C$11/$C$13,B67,$C$12*$C$13,$C$8)</f>
        <v>-1296.835202941618</v>
      </c>
      <c r="E67" s="80">
        <f>IPMT($C$11/$C$13,B67,$C$12*$C$13,$C$8)</f>
        <v>-284.64741610630358</v>
      </c>
      <c r="F67" s="81">
        <f t="shared" si="2"/>
        <v>47332.448652908926</v>
      </c>
      <c r="G67" s="44"/>
    </row>
    <row r="68" spans="2:7" x14ac:dyDescent="0.25">
      <c r="B68" s="36">
        <f t="shared" si="0"/>
        <v>52</v>
      </c>
      <c r="C68" s="80">
        <f t="shared" si="1"/>
        <v>-1581.4826190479216</v>
      </c>
      <c r="D68" s="80">
        <f>PPMT($C$11/$C$13,B68,$C$12*$C$13,$C$8)</f>
        <v>-1304.4261185456244</v>
      </c>
      <c r="E68" s="80">
        <f>IPMT($C$11/$C$13,B68,$C$12*$C$13,$C$8)</f>
        <v>-277.0565005022973</v>
      </c>
      <c r="F68" s="81">
        <f t="shared" si="2"/>
        <v>46028.022534363299</v>
      </c>
      <c r="G68" s="44"/>
    </row>
    <row r="69" spans="2:7" x14ac:dyDescent="0.25">
      <c r="B69" s="36">
        <f t="shared" si="0"/>
        <v>53</v>
      </c>
      <c r="C69" s="80">
        <f t="shared" si="1"/>
        <v>-1581.4826190479216</v>
      </c>
      <c r="D69" s="80">
        <f>PPMT($C$11/$C$13,B69,$C$12*$C$13,$C$8)</f>
        <v>-1312.0614669345955</v>
      </c>
      <c r="E69" s="80">
        <f>IPMT($C$11/$C$13,B69,$C$12*$C$13,$C$8)</f>
        <v>-269.42115211332623</v>
      </c>
      <c r="F69" s="81">
        <f t="shared" si="2"/>
        <v>44715.961067428703</v>
      </c>
      <c r="G69" s="44"/>
    </row>
    <row r="70" spans="2:7" x14ac:dyDescent="0.25">
      <c r="B70" s="36">
        <f t="shared" si="0"/>
        <v>54</v>
      </c>
      <c r="C70" s="80">
        <f t="shared" si="1"/>
        <v>-1581.4826190479216</v>
      </c>
      <c r="D70" s="80">
        <f>PPMT($C$11/$C$13,B70,$C$12*$C$13,$C$8)</f>
        <v>-1319.7415081920947</v>
      </c>
      <c r="E70" s="80">
        <f>IPMT($C$11/$C$13,B70,$C$12*$C$13,$C$8)</f>
        <v>-261.74111085582689</v>
      </c>
      <c r="F70" s="81">
        <f t="shared" si="2"/>
        <v>43396.219559236612</v>
      </c>
      <c r="G70" s="44"/>
    </row>
    <row r="71" spans="2:7" x14ac:dyDescent="0.25">
      <c r="B71" s="36">
        <f t="shared" si="0"/>
        <v>55</v>
      </c>
      <c r="C71" s="80">
        <f t="shared" si="1"/>
        <v>-1581.4826190479216</v>
      </c>
      <c r="D71" s="80">
        <f>PPMT($C$11/$C$13,B71,$C$12*$C$13,$C$8)</f>
        <v>-1327.4665039240629</v>
      </c>
      <c r="E71" s="80">
        <f>IPMT($C$11/$C$13,B71,$C$12*$C$13,$C$8)</f>
        <v>-254.01611512385861</v>
      </c>
      <c r="F71" s="81">
        <f t="shared" si="2"/>
        <v>42068.753055312547</v>
      </c>
      <c r="G71" s="44"/>
    </row>
    <row r="72" spans="2:7" x14ac:dyDescent="0.25">
      <c r="B72" s="36">
        <f t="shared" si="0"/>
        <v>56</v>
      </c>
      <c r="C72" s="80">
        <f t="shared" si="1"/>
        <v>-1581.4826190479216</v>
      </c>
      <c r="D72" s="80">
        <f>PPMT($C$11/$C$13,B72,$C$12*$C$13,$C$8)</f>
        <v>-1335.2367172677289</v>
      </c>
      <c r="E72" s="80">
        <f>IPMT($C$11/$C$13,B72,$C$12*$C$13,$C$8)</f>
        <v>-246.24590178019261</v>
      </c>
      <c r="F72" s="81">
        <f t="shared" si="2"/>
        <v>40733.516338044821</v>
      </c>
      <c r="G72" s="44"/>
    </row>
    <row r="73" spans="2:7" x14ac:dyDescent="0.25">
      <c r="B73" s="36">
        <f t="shared" si="0"/>
        <v>57</v>
      </c>
      <c r="C73" s="80">
        <f t="shared" si="1"/>
        <v>-1581.4826190479216</v>
      </c>
      <c r="D73" s="80">
        <f>PPMT($C$11/$C$13,B73,$C$12*$C$13,$C$8)</f>
        <v>-1343.0524129005732</v>
      </c>
      <c r="E73" s="80">
        <f>IPMT($C$11/$C$13,B73,$C$12*$C$13,$C$8)</f>
        <v>-238.43020614734823</v>
      </c>
      <c r="F73" s="81">
        <f t="shared" si="2"/>
        <v>39390.46392514425</v>
      </c>
      <c r="G73" s="44"/>
    </row>
    <row r="74" spans="2:7" x14ac:dyDescent="0.25">
      <c r="B74" s="36">
        <f t="shared" si="0"/>
        <v>58</v>
      </c>
      <c r="C74" s="80">
        <f t="shared" si="1"/>
        <v>-1581.4826190479216</v>
      </c>
      <c r="D74" s="80">
        <f>PPMT($C$11/$C$13,B74,$C$12*$C$13,$C$8)</f>
        <v>-1350.913857049344</v>
      </c>
      <c r="E74" s="80">
        <f>IPMT($C$11/$C$13,B74,$C$12*$C$13,$C$8)</f>
        <v>-230.56876199857754</v>
      </c>
      <c r="F74" s="81">
        <f t="shared" si="2"/>
        <v>38039.550068094904</v>
      </c>
      <c r="G74" s="44"/>
    </row>
    <row r="75" spans="2:7" x14ac:dyDescent="0.25">
      <c r="B75" s="36">
        <f t="shared" si="0"/>
        <v>59</v>
      </c>
      <c r="C75" s="80">
        <f t="shared" si="1"/>
        <v>-1581.4826190479216</v>
      </c>
      <c r="D75" s="80">
        <f>PPMT($C$11/$C$13,B75,$C$12*$C$13,$C$8)</f>
        <v>-1358.8213174991247</v>
      </c>
      <c r="E75" s="80">
        <f>IPMT($C$11/$C$13,B75,$C$12*$C$13,$C$8)</f>
        <v>-222.6613015487969</v>
      </c>
      <c r="F75" s="81">
        <f t="shared" si="2"/>
        <v>36680.728750595779</v>
      </c>
      <c r="G75" s="44"/>
    </row>
    <row r="76" spans="2:7" x14ac:dyDescent="0.25">
      <c r="B76" s="36">
        <f t="shared" si="0"/>
        <v>60</v>
      </c>
      <c r="C76" s="80">
        <f t="shared" si="1"/>
        <v>-1581.4826190479216</v>
      </c>
      <c r="D76" s="80">
        <f>PPMT($C$11/$C$13,B76,$C$12*$C$13,$C$8)</f>
        <v>-1366.7750636024564</v>
      </c>
      <c r="E76" s="80">
        <f>IPMT($C$11/$C$13,B76,$C$12*$C$13,$C$8)</f>
        <v>-214.70755544546506</v>
      </c>
      <c r="F76" s="81">
        <f t="shared" si="2"/>
        <v>35313.953686993322</v>
      </c>
      <c r="G76" s="44"/>
    </row>
    <row r="77" spans="2:7" x14ac:dyDescent="0.25">
      <c r="B77" s="36">
        <f t="shared" si="0"/>
        <v>61</v>
      </c>
      <c r="C77" s="80">
        <f t="shared" si="1"/>
        <v>-1581.4826190479216</v>
      </c>
      <c r="D77" s="80">
        <f>PPMT($C$11/$C$13,B77,$C$12*$C$13,$C$8)</f>
        <v>-1374.7753662885129</v>
      </c>
      <c r="E77" s="80">
        <f>IPMT($C$11/$C$13,B77,$C$12*$C$13,$C$8)</f>
        <v>-206.70725275940853</v>
      </c>
      <c r="F77" s="81">
        <f t="shared" si="2"/>
        <v>33939.178320704807</v>
      </c>
      <c r="G77" s="44"/>
    </row>
    <row r="78" spans="2:7" x14ac:dyDescent="0.25">
      <c r="B78" s="36">
        <f t="shared" si="0"/>
        <v>62</v>
      </c>
      <c r="C78" s="80">
        <f t="shared" si="1"/>
        <v>-1581.4826190479216</v>
      </c>
      <c r="D78" s="80">
        <f>PPMT($C$11/$C$13,B78,$C$12*$C$13,$C$8)</f>
        <v>-1382.8224980723289</v>
      </c>
      <c r="E78" s="80">
        <f>IPMT($C$11/$C$13,B78,$C$12*$C$13,$C$8)</f>
        <v>-198.66012097559255</v>
      </c>
      <c r="F78" s="81">
        <f t="shared" si="2"/>
        <v>32556.355822632479</v>
      </c>
      <c r="G78" s="44"/>
    </row>
    <row r="79" spans="2:7" x14ac:dyDescent="0.25">
      <c r="B79" s="36">
        <f t="shared" si="0"/>
        <v>63</v>
      </c>
      <c r="C79" s="80">
        <f t="shared" si="1"/>
        <v>-1581.4826190479216</v>
      </c>
      <c r="D79" s="80">
        <f>PPMT($C$11/$C$13,B79,$C$12*$C$13,$C$8)</f>
        <v>-1390.9167330640828</v>
      </c>
      <c r="E79" s="80">
        <f>IPMT($C$11/$C$13,B79,$C$12*$C$13,$C$8)</f>
        <v>-190.5658859838388</v>
      </c>
      <c r="F79" s="81">
        <f t="shared" si="2"/>
        <v>31165.439089568397</v>
      </c>
      <c r="G79" s="44"/>
    </row>
    <row r="80" spans="2:7" x14ac:dyDescent="0.25">
      <c r="B80" s="36">
        <f t="shared" si="0"/>
        <v>64</v>
      </c>
      <c r="C80" s="80">
        <f t="shared" si="1"/>
        <v>-1581.4826190479216</v>
      </c>
      <c r="D80" s="80">
        <f>PPMT($C$11/$C$13,B80,$C$12*$C$13,$C$8)</f>
        <v>-1399.0583469784337</v>
      </c>
      <c r="E80" s="80">
        <f>IPMT($C$11/$C$13,B80,$C$12*$C$13,$C$8)</f>
        <v>-182.4242720694879</v>
      </c>
      <c r="F80" s="81">
        <f t="shared" si="2"/>
        <v>29766.380742589965</v>
      </c>
      <c r="G80" s="44"/>
    </row>
    <row r="81" spans="2:7" x14ac:dyDescent="0.25">
      <c r="B81" s="36">
        <f t="shared" si="0"/>
        <v>65</v>
      </c>
      <c r="C81" s="80">
        <f t="shared" si="1"/>
        <v>-1581.4826190479216</v>
      </c>
      <c r="D81" s="80">
        <f>PPMT($C$11/$C$13,B81,$C$12*$C$13,$C$8)</f>
        <v>-1407.2476171439134</v>
      </c>
      <c r="E81" s="80">
        <f>IPMT($C$11/$C$13,B81,$C$12*$C$13,$C$8)</f>
        <v>-174.23500190400804</v>
      </c>
      <c r="F81" s="81">
        <f t="shared" si="2"/>
        <v>28359.133125446053</v>
      </c>
      <c r="G81" s="44"/>
    </row>
    <row r="82" spans="2:7" x14ac:dyDescent="0.25">
      <c r="B82" s="36">
        <f t="shared" si="0"/>
        <v>66</v>
      </c>
      <c r="C82" s="80">
        <f t="shared" si="1"/>
        <v>-1581.4826190479216</v>
      </c>
      <c r="D82" s="80">
        <f>PPMT($C$11/$C$13,B82,$C$12*$C$13,$C$8)</f>
        <v>-1415.4848225123733</v>
      </c>
      <c r="E82" s="80">
        <f>IPMT($C$11/$C$13,B82,$C$12*$C$13,$C$8)</f>
        <v>-165.99779653554825</v>
      </c>
      <c r="F82" s="81">
        <f t="shared" si="2"/>
        <v>26943.648302933681</v>
      </c>
      <c r="G82" s="44"/>
    </row>
    <row r="83" spans="2:7" x14ac:dyDescent="0.25">
      <c r="B83" s="36">
        <f t="shared" ref="B83:B100" si="3">1+B82</f>
        <v>67</v>
      </c>
      <c r="C83" s="80">
        <f t="shared" si="1"/>
        <v>-1581.4826190479216</v>
      </c>
      <c r="D83" s="80">
        <f>PPMT($C$11/$C$13,B83,$C$12*$C$13,$C$8)</f>
        <v>-1423.7702436684851</v>
      </c>
      <c r="E83" s="80">
        <f>IPMT($C$11/$C$13,B83,$C$12*$C$13,$C$8)</f>
        <v>-157.71237537943631</v>
      </c>
      <c r="F83" s="81">
        <f t="shared" si="2"/>
        <v>25519.878059265196</v>
      </c>
      <c r="G83" s="44"/>
    </row>
    <row r="84" spans="2:7" x14ac:dyDescent="0.25">
      <c r="B84" s="36">
        <f t="shared" si="3"/>
        <v>68</v>
      </c>
      <c r="C84" s="80">
        <f t="shared" ref="C84:C100" si="4">C83</f>
        <v>-1581.4826190479216</v>
      </c>
      <c r="D84" s="80">
        <f>PPMT($C$11/$C$13,B84,$C$12*$C$13,$C$8)</f>
        <v>-1432.1041628393002</v>
      </c>
      <c r="E84" s="80">
        <f>IPMT($C$11/$C$13,B84,$C$12*$C$13,$C$8)</f>
        <v>-149.37845620862134</v>
      </c>
      <c r="F84" s="81">
        <f t="shared" ref="F84:F100" si="5">F83+D84</f>
        <v>24087.773896425897</v>
      </c>
      <c r="G84" s="44"/>
    </row>
    <row r="85" spans="2:7" x14ac:dyDescent="0.25">
      <c r="B85" s="36">
        <f t="shared" si="3"/>
        <v>69</v>
      </c>
      <c r="C85" s="80">
        <f t="shared" si="4"/>
        <v>-1581.4826190479216</v>
      </c>
      <c r="D85" s="80">
        <f>PPMT($C$11/$C$13,B85,$C$12*$C$13,$C$8)</f>
        <v>-1440.4868639038614</v>
      </c>
      <c r="E85" s="80">
        <f>IPMT($C$11/$C$13,B85,$C$12*$C$13,$C$8)</f>
        <v>-140.99575514406013</v>
      </c>
      <c r="F85" s="81">
        <f t="shared" si="5"/>
        <v>22647.287032522036</v>
      </c>
      <c r="G85" s="44"/>
    </row>
    <row r="86" spans="2:7" x14ac:dyDescent="0.25">
      <c r="B86" s="36">
        <f t="shared" si="3"/>
        <v>70</v>
      </c>
      <c r="C86" s="80">
        <f t="shared" si="4"/>
        <v>-1581.4826190479216</v>
      </c>
      <c r="D86" s="80">
        <f>PPMT($C$11/$C$13,B86,$C$12*$C$13,$C$8)</f>
        <v>-1448.9186324028742</v>
      </c>
      <c r="E86" s="80">
        <f>IPMT($C$11/$C$13,B86,$C$12*$C$13,$C$8)</f>
        <v>-132.56398664504744</v>
      </c>
      <c r="F86" s="81">
        <f t="shared" si="5"/>
        <v>21198.368400119161</v>
      </c>
      <c r="G86" s="44"/>
    </row>
    <row r="87" spans="2:7" x14ac:dyDescent="0.25">
      <c r="B87" s="36">
        <f t="shared" si="3"/>
        <v>71</v>
      </c>
      <c r="C87" s="80">
        <f t="shared" si="4"/>
        <v>-1581.4826190479216</v>
      </c>
      <c r="D87" s="80">
        <f>PPMT($C$11/$C$13,B87,$C$12*$C$13,$C$8)</f>
        <v>-1457.3997555484318</v>
      </c>
      <c r="E87" s="80">
        <f>IPMT($C$11/$C$13,B87,$C$12*$C$13,$C$8)</f>
        <v>-124.0828634994896</v>
      </c>
      <c r="F87" s="81">
        <f t="shared" si="5"/>
        <v>19740.96864457073</v>
      </c>
      <c r="G87" s="44"/>
    </row>
    <row r="88" spans="2:7" x14ac:dyDescent="0.25">
      <c r="B88" s="36">
        <f t="shared" si="3"/>
        <v>72</v>
      </c>
      <c r="C88" s="80">
        <f t="shared" si="4"/>
        <v>-1581.4826190479216</v>
      </c>
      <c r="D88" s="80">
        <f>PPMT($C$11/$C$13,B88,$C$12*$C$13,$C$8)</f>
        <v>-1465.9305222338005</v>
      </c>
      <c r="E88" s="80">
        <f>IPMT($C$11/$C$13,B88,$C$12*$C$13,$C$8)</f>
        <v>-115.55209681412106</v>
      </c>
      <c r="F88" s="81">
        <f t="shared" si="5"/>
        <v>18275.03812233693</v>
      </c>
      <c r="G88" s="44"/>
    </row>
    <row r="89" spans="2:7" x14ac:dyDescent="0.25">
      <c r="B89" s="36">
        <f t="shared" si="3"/>
        <v>73</v>
      </c>
      <c r="C89" s="80">
        <f t="shared" si="4"/>
        <v>-1581.4826190479216</v>
      </c>
      <c r="D89" s="80">
        <f>PPMT($C$11/$C$13,B89,$C$12*$C$13,$C$8)</f>
        <v>-1474.5112230432576</v>
      </c>
      <c r="E89" s="80">
        <f>IPMT($C$11/$C$13,B89,$C$12*$C$13,$C$8)</f>
        <v>-106.97139600466399</v>
      </c>
      <c r="F89" s="81">
        <f t="shared" si="5"/>
        <v>16800.526899293673</v>
      </c>
      <c r="G89" s="44"/>
    </row>
    <row r="90" spans="2:7" x14ac:dyDescent="0.25">
      <c r="B90" s="36">
        <f t="shared" si="3"/>
        <v>74</v>
      </c>
      <c r="C90" s="80">
        <f t="shared" si="4"/>
        <v>-1581.4826190479216</v>
      </c>
      <c r="D90" s="80">
        <f>PPMT($C$11/$C$13,B90,$C$12*$C$13,$C$8)</f>
        <v>-1483.1421502619917</v>
      </c>
      <c r="E90" s="80">
        <f>IPMT($C$11/$C$13,B90,$C$12*$C$13,$C$8)</f>
        <v>-98.340468785929858</v>
      </c>
      <c r="F90" s="81">
        <f t="shared" si="5"/>
        <v>15317.38474903168</v>
      </c>
      <c r="G90" s="44"/>
    </row>
    <row r="91" spans="2:7" x14ac:dyDescent="0.25">
      <c r="B91" s="36">
        <f t="shared" si="3"/>
        <v>75</v>
      </c>
      <c r="C91" s="80">
        <f t="shared" si="4"/>
        <v>-1581.4826190479216</v>
      </c>
      <c r="D91" s="80">
        <f>PPMT($C$11/$C$13,B91,$C$12*$C$13,$C$8)</f>
        <v>-1491.823597886058</v>
      </c>
      <c r="E91" s="80">
        <f>IPMT($C$11/$C$13,B91,$C$12*$C$13,$C$8)</f>
        <v>-89.659021161863464</v>
      </c>
      <c r="F91" s="81">
        <f t="shared" si="5"/>
        <v>13825.561151145623</v>
      </c>
      <c r="G91" s="44"/>
    </row>
    <row r="92" spans="2:7" x14ac:dyDescent="0.25">
      <c r="B92" s="36">
        <f t="shared" si="3"/>
        <v>76</v>
      </c>
      <c r="C92" s="80">
        <f t="shared" si="4"/>
        <v>-1581.4826190479216</v>
      </c>
      <c r="D92" s="80">
        <f>PPMT($C$11/$C$13,B92,$C$12*$C$13,$C$8)</f>
        <v>-1500.5558616323931</v>
      </c>
      <c r="E92" s="80">
        <f>IPMT($C$11/$C$13,B92,$C$12*$C$13,$C$8)</f>
        <v>-80.926757415528527</v>
      </c>
      <c r="F92" s="81">
        <f t="shared" si="5"/>
        <v>12325.00528951323</v>
      </c>
      <c r="G92" s="44"/>
    </row>
    <row r="93" spans="2:7" x14ac:dyDescent="0.25">
      <c r="B93" s="36">
        <f t="shared" si="3"/>
        <v>77</v>
      </c>
      <c r="C93" s="80">
        <f t="shared" si="4"/>
        <v>-1581.4826190479216</v>
      </c>
      <c r="D93" s="80">
        <f>PPMT($C$11/$C$13,B93,$C$12*$C$13,$C$8)</f>
        <v>-1509.339238948887</v>
      </c>
      <c r="E93" s="80">
        <f>IPMT($C$11/$C$13,B93,$C$12*$C$13,$C$8)</f>
        <v>-72.143380099034459</v>
      </c>
      <c r="F93" s="81">
        <f t="shared" si="5"/>
        <v>10815.666050564343</v>
      </c>
      <c r="G93" s="44"/>
    </row>
    <row r="94" spans="2:7" x14ac:dyDescent="0.25">
      <c r="B94" s="36">
        <f t="shared" si="3"/>
        <v>78</v>
      </c>
      <c r="C94" s="80">
        <f t="shared" si="4"/>
        <v>-1581.4826190479216</v>
      </c>
      <c r="D94" s="80">
        <f>PPMT($C$11/$C$13,B94,$C$12*$C$13,$C$8)</f>
        <v>-1518.1740290245168</v>
      </c>
      <c r="E94" s="80">
        <f>IPMT($C$11/$C$13,B94,$C$12*$C$13,$C$8)</f>
        <v>-63.308590023404605</v>
      </c>
      <c r="F94" s="81">
        <f t="shared" si="5"/>
        <v>9297.492021539827</v>
      </c>
      <c r="G94" s="44"/>
    </row>
    <row r="95" spans="2:7" x14ac:dyDescent="0.25">
      <c r="B95" s="36">
        <f t="shared" si="3"/>
        <v>79</v>
      </c>
      <c r="C95" s="80">
        <f t="shared" si="4"/>
        <v>-1581.4826190479216</v>
      </c>
      <c r="D95" s="80">
        <f>PPMT($C$11/$C$13,B95,$C$12*$C$13,$C$8)</f>
        <v>-1527.0605327995368</v>
      </c>
      <c r="E95" s="80">
        <f>IPMT($C$11/$C$13,B95,$C$12*$C$13,$C$8)</f>
        <v>-54.422086248384815</v>
      </c>
      <c r="F95" s="81">
        <f t="shared" si="5"/>
        <v>7770.4314887402907</v>
      </c>
      <c r="G95" s="44"/>
    </row>
    <row r="96" spans="2:7" x14ac:dyDescent="0.25">
      <c r="B96" s="36">
        <f t="shared" si="3"/>
        <v>80</v>
      </c>
      <c r="C96" s="80">
        <f t="shared" si="4"/>
        <v>-1581.4826190479216</v>
      </c>
      <c r="D96" s="80">
        <f>PPMT($C$11/$C$13,B96,$C$12*$C$13,$C$8)</f>
        <v>-1535.999052975729</v>
      </c>
      <c r="E96" s="80">
        <f>IPMT($C$11/$C$13,B96,$C$12*$C$13,$C$8)</f>
        <v>-45.483566072192495</v>
      </c>
      <c r="F96" s="81">
        <f t="shared" si="5"/>
        <v>6234.4324357645619</v>
      </c>
      <c r="G96" s="44"/>
    </row>
    <row r="97" spans="2:7" x14ac:dyDescent="0.25">
      <c r="B97" s="36">
        <f t="shared" si="3"/>
        <v>81</v>
      </c>
      <c r="C97" s="80">
        <f t="shared" si="4"/>
        <v>-1581.4826190479216</v>
      </c>
      <c r="D97" s="80">
        <f>PPMT($C$11/$C$13,B97,$C$12*$C$13,$C$8)</f>
        <v>-1544.9898940267158</v>
      </c>
      <c r="E97" s="80">
        <f>IPMT($C$11/$C$13,B97,$C$12*$C$13,$C$8)</f>
        <v>-36.492725021205707</v>
      </c>
      <c r="F97" s="81">
        <f t="shared" si="5"/>
        <v>4689.4425417378461</v>
      </c>
      <c r="G97" s="44"/>
    </row>
    <row r="98" spans="2:7" x14ac:dyDescent="0.25">
      <c r="B98" s="36">
        <f t="shared" si="3"/>
        <v>82</v>
      </c>
      <c r="C98" s="80">
        <f t="shared" si="4"/>
        <v>-1581.4826190479216</v>
      </c>
      <c r="D98" s="80">
        <f>PPMT($C$11/$C$13,B98,$C$12*$C$13,$C$8)</f>
        <v>-1554.0333622083297</v>
      </c>
      <c r="E98" s="80">
        <f>IPMT($C$11/$C$13,B98,$C$12*$C$13,$C$8)</f>
        <v>-27.449256839591783</v>
      </c>
      <c r="F98" s="81">
        <f t="shared" si="5"/>
        <v>3135.4091795295162</v>
      </c>
      <c r="G98" s="44"/>
    </row>
    <row r="99" spans="2:7" x14ac:dyDescent="0.25">
      <c r="B99" s="36">
        <f t="shared" si="3"/>
        <v>83</v>
      </c>
      <c r="C99" s="80">
        <f t="shared" si="4"/>
        <v>-1581.4826190479216</v>
      </c>
      <c r="D99" s="80">
        <f>PPMT($C$11/$C$13,B99,$C$12*$C$13,$C$8)</f>
        <v>-1563.1297655690462</v>
      </c>
      <c r="E99" s="80">
        <f>IPMT($C$11/$C$13,B99,$C$12*$C$13,$C$8)</f>
        <v>-18.35285347887535</v>
      </c>
      <c r="F99" s="81">
        <f t="shared" si="5"/>
        <v>1572.27941396047</v>
      </c>
      <c r="G99" s="44"/>
    </row>
    <row r="100" spans="2:7" x14ac:dyDescent="0.25">
      <c r="B100" s="25">
        <f t="shared" si="3"/>
        <v>84</v>
      </c>
      <c r="C100" s="82">
        <f t="shared" si="4"/>
        <v>-1581.4826190479216</v>
      </c>
      <c r="D100" s="82">
        <f>PPMT($C$11/$C$13,B100,$C$12*$C$13,$C$8)</f>
        <v>-1572.2794139604764</v>
      </c>
      <c r="E100" s="82">
        <f>IPMT($C$11/$C$13,B100,$C$12*$C$13,$C$8)</f>
        <v>-9.2032050874452445</v>
      </c>
      <c r="F100" s="83">
        <f t="shared" si="5"/>
        <v>-6.3664629124104977E-12</v>
      </c>
      <c r="G100" s="44"/>
    </row>
    <row r="101" spans="2:7" x14ac:dyDescent="0.25">
      <c r="C101" s="84"/>
      <c r="D101" s="84"/>
      <c r="E101" s="84"/>
      <c r="F101" s="84"/>
    </row>
    <row r="102" spans="2:7" x14ac:dyDescent="0.25">
      <c r="B102" s="8" t="s">
        <v>176</v>
      </c>
      <c r="C102" s="85">
        <f>SUM(C17:C100)</f>
        <v>-132844.54000002542</v>
      </c>
      <c r="D102" s="85">
        <f>SUM(D17:D100)</f>
        <v>-104703.00000000003</v>
      </c>
      <c r="E102" s="85">
        <f>SUM(E17:E100)</f>
        <v>-28141.540000025405</v>
      </c>
      <c r="F102" s="353"/>
      <c r="G102" s="8"/>
    </row>
    <row r="103" spans="2:7" x14ac:dyDescent="0.25">
      <c r="C103" s="84"/>
      <c r="D103" s="84"/>
      <c r="E103" s="84"/>
      <c r="F103" s="84"/>
    </row>
    <row r="104" spans="2:7" x14ac:dyDescent="0.25">
      <c r="C104" s="84"/>
      <c r="D104" s="84"/>
      <c r="E104" s="84"/>
      <c r="F104" s="84"/>
    </row>
    <row r="105" spans="2:7" x14ac:dyDescent="0.25">
      <c r="C105" s="84"/>
      <c r="D105" s="84"/>
      <c r="E105" s="84">
        <f>E102+D102-C102</f>
        <v>0</v>
      </c>
      <c r="F105" s="84"/>
    </row>
  </sheetData>
  <mergeCells count="1">
    <mergeCell ref="B6:C6"/>
  </mergeCells>
  <pageMargins left="0.7" right="0.7" top="0.75" bottom="0.75" header="0.3" footer="0.3"/>
  <pageSetup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AC250-EC5B-44A0-98AA-90AAF38F4BC3}">
  <sheetPr codeName="Sheet21">
    <tabColor theme="4" tint="0.59999389629810485"/>
    <pageSetUpPr fitToPage="1"/>
  </sheetPr>
  <dimension ref="B1:W23"/>
  <sheetViews>
    <sheetView showGridLines="0" zoomScale="85" zoomScaleNormal="85" workbookViewId="0"/>
  </sheetViews>
  <sheetFormatPr defaultColWidth="8.7109375" defaultRowHeight="15" x14ac:dyDescent="0.25"/>
  <cols>
    <col min="1" max="1" width="2.7109375" style="31" customWidth="1"/>
    <col min="2" max="2" width="13.7109375" style="31" customWidth="1"/>
    <col min="3" max="3" width="28" style="31" bestFit="1" customWidth="1"/>
    <col min="4" max="4" width="13" style="31" customWidth="1"/>
    <col min="5" max="6" width="13" style="31" bestFit="1" customWidth="1"/>
    <col min="7" max="7" width="16" style="31" customWidth="1"/>
    <col min="8" max="8" width="13" style="31" bestFit="1" customWidth="1"/>
    <col min="9" max="9" width="8.7109375" style="31"/>
    <col min="10" max="10" width="10.5703125" style="31" bestFit="1" customWidth="1"/>
    <col min="11" max="12" width="8.7109375" style="31"/>
    <col min="13" max="13" width="24.85546875" style="31" customWidth="1"/>
    <col min="14" max="32" width="8.7109375" style="31"/>
    <col min="33" max="33" width="8.28515625" style="31" bestFit="1" customWidth="1"/>
    <col min="34" max="16384" width="8.7109375" style="31"/>
  </cols>
  <sheetData>
    <row r="1" spans="2:23" x14ac:dyDescent="0.25">
      <c r="E1" s="33"/>
    </row>
    <row r="2" spans="2:23" customFormat="1" ht="21" x14ac:dyDescent="0.35">
      <c r="B2" s="261" t="s">
        <v>0</v>
      </c>
      <c r="C2" s="261"/>
      <c r="G2" s="4"/>
      <c r="J2" s="4"/>
    </row>
    <row r="3" spans="2:23" ht="21" x14ac:dyDescent="0.35">
      <c r="B3" s="203" t="s">
        <v>325</v>
      </c>
      <c r="C3" s="203"/>
      <c r="D3" s="32"/>
      <c r="E3" s="32"/>
      <c r="F3" s="32"/>
      <c r="G3" s="33"/>
      <c r="H3" s="32"/>
      <c r="I3" s="32"/>
      <c r="J3" s="32"/>
      <c r="K3" s="32"/>
      <c r="L3" s="32"/>
      <c r="M3" s="32"/>
      <c r="N3" s="32"/>
      <c r="O3" s="32"/>
      <c r="P3" s="32"/>
      <c r="Q3" s="32"/>
      <c r="R3" s="32"/>
      <c r="S3" s="32"/>
      <c r="T3" s="32"/>
      <c r="U3" s="32"/>
      <c r="V3" s="32"/>
      <c r="W3" s="32"/>
    </row>
    <row r="4" spans="2:23" customFormat="1" x14ac:dyDescent="0.25">
      <c r="B4" s="97" t="s">
        <v>383</v>
      </c>
      <c r="C4" s="97"/>
      <c r="E4" s="32"/>
    </row>
    <row r="5" spans="2:23" x14ac:dyDescent="0.25">
      <c r="B5" s="32"/>
      <c r="C5" s="32"/>
      <c r="D5" s="174"/>
      <c r="E5" s="174"/>
      <c r="F5" s="32"/>
      <c r="G5" s="32"/>
      <c r="H5" s="174"/>
      <c r="I5" s="32"/>
      <c r="J5" s="32"/>
      <c r="K5" s="32"/>
      <c r="L5" s="32"/>
      <c r="M5" s="32"/>
      <c r="N5" s="32"/>
      <c r="O5" s="32"/>
      <c r="P5" s="32"/>
      <c r="Q5" s="32"/>
      <c r="R5" s="32"/>
      <c r="S5" s="32"/>
      <c r="T5" s="32"/>
      <c r="U5" s="32"/>
      <c r="V5" s="32"/>
      <c r="W5" s="32"/>
    </row>
    <row r="6" spans="2:23" ht="47.25" x14ac:dyDescent="0.25">
      <c r="B6" s="420" t="s">
        <v>398</v>
      </c>
      <c r="C6" s="325" t="s">
        <v>707</v>
      </c>
      <c r="D6" s="326" t="s">
        <v>708</v>
      </c>
      <c r="E6" s="327" t="s">
        <v>722</v>
      </c>
      <c r="F6" s="326" t="s">
        <v>399</v>
      </c>
      <c r="G6" s="420" t="s">
        <v>353</v>
      </c>
      <c r="H6" s="327" t="s">
        <v>400</v>
      </c>
      <c r="L6" s="33"/>
    </row>
    <row r="7" spans="2:23" x14ac:dyDescent="0.25">
      <c r="B7" s="821" t="s">
        <v>402</v>
      </c>
      <c r="C7" s="823" t="s">
        <v>721</v>
      </c>
      <c r="D7" s="806">
        <v>16875</v>
      </c>
      <c r="E7" s="242">
        <f>SUMIFS(Annual!$AA$9:$AA$22,Annual!$B$9:$B$22,"Income Eligible",Annual!$AE$9:$AE$22,C7)</f>
        <v>2966.5866674623085</v>
      </c>
      <c r="F7" s="873">
        <f>NPER(-Inputs!$E$109,-Payback!E7,Payback!D7)</f>
        <v>5.6487090864767122</v>
      </c>
      <c r="G7" s="418">
        <f>D7/Inputs!$E$72</f>
        <v>2410.7142857142858</v>
      </c>
      <c r="H7" s="432">
        <f>E7-G7</f>
        <v>555.87238174802269</v>
      </c>
      <c r="L7" s="33"/>
    </row>
    <row r="8" spans="2:23" x14ac:dyDescent="0.25">
      <c r="B8" s="821" t="s">
        <v>403</v>
      </c>
      <c r="C8" s="823" t="s">
        <v>299</v>
      </c>
      <c r="D8" s="806">
        <v>14453</v>
      </c>
      <c r="E8" s="242">
        <f>SUMIFS(Annual!$AA$9:$AA$22,Annual!$B$9:$B$22,"Income Eligible",Annual!$AE$9:$AE$22,C8)</f>
        <v>4498.6283973540085</v>
      </c>
      <c r="F8" s="873">
        <f>NPER(-Inputs!$E$109,-Payback!E8,Payback!D8)</f>
        <v>3.1986043879326695</v>
      </c>
      <c r="G8" s="418">
        <f>D8/Inputs!$E$72</f>
        <v>2064.7142857142858</v>
      </c>
      <c r="H8" s="432">
        <f t="shared" ref="H8:H12" si="0">E8-G8</f>
        <v>2433.9141116397227</v>
      </c>
      <c r="L8" s="33"/>
    </row>
    <row r="9" spans="2:23" s="846" customFormat="1" x14ac:dyDescent="0.25">
      <c r="B9" s="821" t="s">
        <v>404</v>
      </c>
      <c r="C9" s="823" t="s">
        <v>721</v>
      </c>
      <c r="D9" s="806">
        <v>24600</v>
      </c>
      <c r="E9" s="242">
        <f>SUMIFS(Annual!$AA$9:$AA$22,Annual!$B$9:$B$22,"Income Eligible",Annual!$AE$9:$AE$22,C9)</f>
        <v>2966.5866674623085</v>
      </c>
      <c r="F9" s="873">
        <f>NPER(-Inputs!$E$109,-Payback!E9,Payback!D9)</f>
        <v>8.2123494267524979</v>
      </c>
      <c r="G9" s="418">
        <f>D9/Inputs!$E$72</f>
        <v>3514.2857142857142</v>
      </c>
      <c r="H9" s="432">
        <f t="shared" ref="H9:H11" si="1">E9-G9</f>
        <v>-547.69904682340575</v>
      </c>
      <c r="L9" s="33"/>
      <c r="M9" s="31"/>
    </row>
    <row r="10" spans="2:23" x14ac:dyDescent="0.25">
      <c r="B10" s="821" t="s">
        <v>405</v>
      </c>
      <c r="C10" s="823" t="s">
        <v>299</v>
      </c>
      <c r="D10" s="806">
        <v>6850</v>
      </c>
      <c r="E10" s="242">
        <f>SUMIFS(Annual!$AA$9:$AA$22,Annual!$B$9:$B$22,"Income Eligible",Annual!$AE$9:$AE$22,C10)</f>
        <v>4498.6283973540085</v>
      </c>
      <c r="F10" s="873">
        <f>NPER(-Inputs!$E$109,-Payback!E10,Payback!D10)</f>
        <v>1.5186601837625047</v>
      </c>
      <c r="G10" s="418">
        <f>D10/Inputs!$E$72</f>
        <v>978.57142857142856</v>
      </c>
      <c r="H10" s="432">
        <f t="shared" si="1"/>
        <v>3520.05696878258</v>
      </c>
      <c r="L10" s="33"/>
    </row>
    <row r="11" spans="2:23" s="846" customFormat="1" x14ac:dyDescent="0.25">
      <c r="B11" s="821" t="s">
        <v>406</v>
      </c>
      <c r="C11" s="823" t="s">
        <v>721</v>
      </c>
      <c r="D11" s="806">
        <v>16185</v>
      </c>
      <c r="E11" s="242">
        <f>SUMIFS(Annual!$AA$9:$AA$22,Annual!$B$9:$B$22,"Income Eligible",Annual!$AE$9:$AE$22,C11)</f>
        <v>2966.5866674623085</v>
      </c>
      <c r="F11" s="873">
        <f>NPER(-Inputs!$E$109,-Payback!E11,Payback!D11)</f>
        <v>5.4190501600391361</v>
      </c>
      <c r="G11" s="418">
        <f>D11/Inputs!$E$72</f>
        <v>2312.1428571428573</v>
      </c>
      <c r="H11" s="432">
        <f t="shared" si="1"/>
        <v>654.44381031945113</v>
      </c>
      <c r="L11" s="33"/>
      <c r="M11" s="31"/>
    </row>
    <row r="12" spans="2:23" x14ac:dyDescent="0.25">
      <c r="B12" s="822" t="s">
        <v>407</v>
      </c>
      <c r="C12" s="824" t="s">
        <v>721</v>
      </c>
      <c r="D12" s="807">
        <v>25740</v>
      </c>
      <c r="E12" s="815">
        <f>SUMIFS(Annual!$AA$9:$AA$22,Annual!$B$9:$B$22,"Income Eligible",Annual!$AE$9:$AE$22,C12)</f>
        <v>2966.5866674623085</v>
      </c>
      <c r="F12" s="874">
        <f>NPER(-Inputs!$E$109,-Payback!E12,Payback!D12)</f>
        <v>8.5895058720070967</v>
      </c>
      <c r="G12" s="419">
        <f>D12/Inputs!$E$72</f>
        <v>3677.1428571428573</v>
      </c>
      <c r="H12" s="433">
        <f t="shared" si="0"/>
        <v>-710.55618968054887</v>
      </c>
      <c r="L12" s="33"/>
    </row>
    <row r="13" spans="2:23" x14ac:dyDescent="0.25">
      <c r="B13" s="821" t="s">
        <v>176</v>
      </c>
      <c r="C13" s="823"/>
      <c r="D13" s="34">
        <f>SUM(D7:D12)</f>
        <v>104703</v>
      </c>
      <c r="E13" s="432">
        <f>SUM(E7:E12)</f>
        <v>20863.603464557251</v>
      </c>
      <c r="F13" s="859"/>
      <c r="G13" s="418">
        <f>SUM(G7:G12)</f>
        <v>14957.571428571429</v>
      </c>
      <c r="H13" s="432">
        <f>SUM(H7:H12)</f>
        <v>5906.0320359858233</v>
      </c>
      <c r="K13" s="845"/>
      <c r="L13" s="380"/>
      <c r="M13" s="33"/>
    </row>
    <row r="14" spans="2:23" x14ac:dyDescent="0.25">
      <c r="B14" s="822" t="s">
        <v>401</v>
      </c>
      <c r="C14" s="824"/>
      <c r="D14" s="241">
        <f>D13/6</f>
        <v>17450.5</v>
      </c>
      <c r="E14" s="433">
        <f t="shared" ref="E14:H14" si="2">E13/6</f>
        <v>3477.267244092875</v>
      </c>
      <c r="F14" s="875">
        <f>SUM(F7:F12)/6</f>
        <v>5.4311465194951021</v>
      </c>
      <c r="G14" s="419">
        <f t="shared" si="2"/>
        <v>2492.9285714285716</v>
      </c>
      <c r="H14" s="433">
        <f t="shared" si="2"/>
        <v>984.33867266430389</v>
      </c>
      <c r="K14" s="31" t="s">
        <v>27</v>
      </c>
      <c r="L14" s="33"/>
    </row>
    <row r="16" spans="2:23" x14ac:dyDescent="0.25">
      <c r="B16" s="223" t="s">
        <v>33</v>
      </c>
    </row>
    <row r="17" spans="2:12" x14ac:dyDescent="0.25">
      <c r="B17" s="1109" t="s">
        <v>723</v>
      </c>
      <c r="C17" s="1109"/>
      <c r="D17" s="1109"/>
      <c r="E17" s="1109"/>
      <c r="F17" s="1109"/>
      <c r="G17" s="1109"/>
      <c r="H17" s="1109"/>
      <c r="L17" s="33"/>
    </row>
    <row r="18" spans="2:12" x14ac:dyDescent="0.25">
      <c r="B18" s="1109"/>
      <c r="C18" s="1109"/>
      <c r="D18" s="1109"/>
      <c r="E18" s="1109"/>
      <c r="F18" s="1109"/>
      <c r="G18" s="1109"/>
      <c r="H18" s="1109"/>
    </row>
    <row r="20" spans="2:12" x14ac:dyDescent="0.25">
      <c r="H20" s="31" t="s">
        <v>27</v>
      </c>
    </row>
    <row r="22" spans="2:12" x14ac:dyDescent="0.25">
      <c r="C22" s="380"/>
      <c r="D22" s="380"/>
      <c r="E22" s="845"/>
      <c r="F22" s="847"/>
      <c r="G22" s="845"/>
      <c r="H22" s="845"/>
      <c r="J22" s="380"/>
    </row>
    <row r="23" spans="2:12" x14ac:dyDescent="0.25">
      <c r="C23" s="380"/>
      <c r="D23" s="848"/>
      <c r="E23" s="845"/>
      <c r="F23" s="847"/>
      <c r="G23" s="845"/>
      <c r="H23" s="845"/>
      <c r="J23" s="380"/>
    </row>
  </sheetData>
  <sortState xmlns:xlrd2="http://schemas.microsoft.com/office/spreadsheetml/2017/richdata2" ref="L7:L13">
    <sortCondition ref="L7:L13"/>
  </sortState>
  <mergeCells count="1">
    <mergeCell ref="B17:H18"/>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1F9DD-88AD-4E44-99FC-E3FCDC1069C7}">
  <sheetPr codeName="Sheet19">
    <tabColor theme="4" tint="0.39997558519241921"/>
  </sheetPr>
  <dimension ref="B2:L26"/>
  <sheetViews>
    <sheetView showGridLines="0" zoomScale="85" zoomScaleNormal="85" workbookViewId="0"/>
  </sheetViews>
  <sheetFormatPr defaultColWidth="9.140625" defaultRowHeight="15" x14ac:dyDescent="0.25"/>
  <cols>
    <col min="1" max="1" width="2.7109375" style="31" customWidth="1"/>
    <col min="2" max="2" width="44.5703125" style="31" customWidth="1"/>
    <col min="3" max="3" width="9.5703125" style="31" bestFit="1" customWidth="1"/>
    <col min="4" max="6" width="9" style="31" customWidth="1"/>
    <col min="7" max="7" width="15.85546875" style="31" bestFit="1" customWidth="1"/>
    <col min="8" max="8" width="8.85546875" style="31" bestFit="1" customWidth="1"/>
    <col min="9" max="9" width="12.85546875" style="31" bestFit="1" customWidth="1"/>
    <col min="10" max="10" width="2.7109375" style="31" customWidth="1"/>
    <col min="11" max="16384" width="9.140625" style="31"/>
  </cols>
  <sheetData>
    <row r="2" spans="2:12" customFormat="1" ht="21" x14ac:dyDescent="0.35">
      <c r="B2" s="261" t="s">
        <v>0</v>
      </c>
      <c r="C2" s="4"/>
    </row>
    <row r="3" spans="2:12" ht="21" x14ac:dyDescent="0.35">
      <c r="B3" s="203" t="s">
        <v>241</v>
      </c>
    </row>
    <row r="5" spans="2:12" x14ac:dyDescent="0.25">
      <c r="B5" s="816" t="s">
        <v>703</v>
      </c>
      <c r="C5" s="352" t="s">
        <v>130</v>
      </c>
      <c r="D5" s="809" t="s">
        <v>160</v>
      </c>
      <c r="E5" s="809" t="s">
        <v>160</v>
      </c>
      <c r="F5" s="809" t="s">
        <v>138</v>
      </c>
      <c r="G5" s="810" t="s">
        <v>138</v>
      </c>
      <c r="H5" s="1111" t="s">
        <v>176</v>
      </c>
      <c r="I5" s="1112"/>
    </row>
    <row r="6" spans="2:12" ht="30" x14ac:dyDescent="0.25">
      <c r="B6" s="931" t="s">
        <v>776</v>
      </c>
      <c r="C6" s="811" t="s">
        <v>131</v>
      </c>
      <c r="D6" s="812" t="s">
        <v>131</v>
      </c>
      <c r="E6" s="813" t="s">
        <v>159</v>
      </c>
      <c r="F6" s="813" t="s">
        <v>131</v>
      </c>
      <c r="G6" s="814" t="s">
        <v>721</v>
      </c>
      <c r="H6" s="818" t="s">
        <v>704</v>
      </c>
      <c r="I6" s="814" t="s">
        <v>705</v>
      </c>
    </row>
    <row r="7" spans="2:12" x14ac:dyDescent="0.25">
      <c r="B7" s="315" t="s">
        <v>136</v>
      </c>
      <c r="C7" s="808"/>
      <c r="D7" s="808"/>
      <c r="E7" s="808"/>
      <c r="F7" s="808"/>
      <c r="G7" s="808"/>
      <c r="H7" s="808"/>
      <c r="I7" s="817"/>
    </row>
    <row r="8" spans="2:12" x14ac:dyDescent="0.25">
      <c r="B8" s="244" t="s">
        <v>706</v>
      </c>
      <c r="C8" s="120">
        <f>SUMIFS(Annual!$S$9:$S$22,Annual!$B$9:$B$22,"Income Eligible",Annual!$C$9:$C$22,C5,Annual!$D$9:$D$22,C6,Annual!$E$9:$E$22,"No")/(1-Inputs!$E$103)</f>
        <v>2185.1339800000001</v>
      </c>
      <c r="D8" s="120">
        <f>SUMIFS(Annual!$S$9:$S$22,Annual!$B$9:$B$22,"Income Eligible",Annual!$C$9:$C$22,D5,Annual!$D$9:$D$22,D6,Annual!$E$9:$E$22,"No")/(1-Inputs!$E$103)</f>
        <v>2185.1339800000001</v>
      </c>
      <c r="E8" s="120">
        <f>SUMIFS(Annual!$S$9:$S$22,Annual!$B$9:$B$22,"Income Eligible",Annual!$C$9:$C$22,E5,Annual!$D$9:$D$22,E6,Annual!$E$9:$E$22,"No")/(1-Inputs!$E$103)</f>
        <v>2185.1339800000001</v>
      </c>
      <c r="F8" s="120">
        <f>SUMIFS(Annual!$S$9:$S$22,Annual!$B$9:$B$22,"Income Eligible",Annual!$C$9:$C$22,F5,Annual!$D$9:$D$22,F6,Annual!$E$9:$E$22,"No")/(1-Inputs!$E$103)</f>
        <v>5025.4064930312143</v>
      </c>
      <c r="G8" s="120">
        <f>SUMIFS(Annual!$S$9:$S$22,Annual!$B$9:$B$22,"Income Eligible",Annual!$C$9:$C$22,G5,Annual!$D$9:$D$22,G6,Annual!$E$9:$E$22,"No")/(1-Inputs!$E$103)</f>
        <v>3221.4779965714288</v>
      </c>
      <c r="H8" s="819"/>
      <c r="I8" s="121"/>
      <c r="K8" s="33"/>
    </row>
    <row r="9" spans="2:12" x14ac:dyDescent="0.25">
      <c r="B9" s="244" t="s">
        <v>243</v>
      </c>
      <c r="C9" s="243">
        <f>C8*Inputs!$E$103</f>
        <v>917.75627159999999</v>
      </c>
      <c r="D9" s="243">
        <f>D8*Inputs!$E$103</f>
        <v>917.75627159999999</v>
      </c>
      <c r="E9" s="243">
        <f>E8*Inputs!$E$103</f>
        <v>917.75627159999999</v>
      </c>
      <c r="F9" s="243">
        <f>F8*Inputs!$E$103</f>
        <v>2110.6707270731099</v>
      </c>
      <c r="G9" s="243">
        <f>G8*Inputs!$E$103</f>
        <v>1353.0207585600001</v>
      </c>
      <c r="H9" s="820"/>
      <c r="I9" s="121"/>
      <c r="L9" s="34"/>
    </row>
    <row r="10" spans="2:12" x14ac:dyDescent="0.25">
      <c r="B10" s="315" t="s">
        <v>137</v>
      </c>
      <c r="C10" s="316"/>
      <c r="D10" s="316"/>
      <c r="E10" s="316"/>
      <c r="F10" s="316"/>
      <c r="G10" s="316"/>
      <c r="H10" s="316"/>
      <c r="I10" s="317"/>
    </row>
    <row r="11" spans="2:12" x14ac:dyDescent="0.25">
      <c r="B11" s="244" t="s">
        <v>706</v>
      </c>
      <c r="C11" s="120">
        <f>SUMIFS(Annual!$Z$9:$Z$22,Annual!$B$9:$B$22,"Income Eligible",Annual!$C$9:$C$22,C5,Annual!$D$9:$D$22,C6,Annual!$E$9:$E$22,"No")/(1-Inputs!$E$103)</f>
        <v>2171.5840583333338</v>
      </c>
      <c r="D11" s="120">
        <f>SUMIFS(Annual!$Z$9:$Z$22,Annual!$B$9:$B$22,"Income Eligible",Annual!$C$9:$C$22,D5,Annual!$D$9:$D$22,D6,Annual!$E$9:$E$22,"No")/(1-Inputs!$E$103)</f>
        <v>1070.1916852922793</v>
      </c>
      <c r="E11" s="120">
        <f>SUMIFS(Annual!$Z$9:$Z$22,Annual!$B$9:$B$22,"Income Eligible",Annual!$C$9:$C$22,E5,Annual!$D$9:$D$22,E6,Annual!$E$9:$E$22,"No")/(1-Inputs!$E$103)</f>
        <v>1063.2226421478997</v>
      </c>
      <c r="F11" s="120">
        <f>SUMIFS(Annual!$Z$9:$Z$22,Annual!$B$9:$B$22,"Income Eligible",Annual!$C$9:$C$22,F5,Annual!$D$9:$D$22,F6,Annual!$E$9:$E$22,"No")/(1-Inputs!$E$103)</f>
        <v>231.18659115706535</v>
      </c>
      <c r="G11" s="120">
        <f>SUMIFS(Annual!$Z$9:$Z$22,Annual!$B$9:$B$22,"Income Eligible",Annual!$C$9:$C$22,G5,Annual!$D$9:$D$22,G6,Annual!$E$9:$E$22,"No")/(1-Inputs!$E$103)</f>
        <v>1128.9029414979304</v>
      </c>
      <c r="H11" s="819"/>
      <c r="I11" s="121"/>
    </row>
    <row r="12" spans="2:12" x14ac:dyDescent="0.25">
      <c r="B12" s="244" t="s">
        <v>243</v>
      </c>
      <c r="C12" s="243">
        <f>C11*Inputs!$E$103</f>
        <v>912.06530450000014</v>
      </c>
      <c r="D12" s="243">
        <f>D11*Inputs!$E$103</f>
        <v>449.48050782275732</v>
      </c>
      <c r="E12" s="243">
        <f>E11*Inputs!$E$103</f>
        <v>446.55350970211788</v>
      </c>
      <c r="F12" s="243">
        <f>F11*Inputs!$E$103</f>
        <v>97.098368285967439</v>
      </c>
      <c r="G12" s="243">
        <f>G11*Inputs!$E$103</f>
        <v>474.13923542913079</v>
      </c>
      <c r="H12" s="820"/>
      <c r="I12" s="121"/>
    </row>
    <row r="13" spans="2:12" x14ac:dyDescent="0.25">
      <c r="B13" s="244" t="s">
        <v>244</v>
      </c>
      <c r="C13" s="243">
        <f>C9-C12</f>
        <v>5.6909670999998525</v>
      </c>
      <c r="D13" s="243">
        <f>D9-D12</f>
        <v>468.27576377724267</v>
      </c>
      <c r="E13" s="243">
        <f t="shared" ref="E13:G13" si="0">E9-E12</f>
        <v>471.20276189788211</v>
      </c>
      <c r="F13" s="243">
        <f t="shared" si="0"/>
        <v>2013.5723587871425</v>
      </c>
      <c r="G13" s="243">
        <f t="shared" si="0"/>
        <v>878.88152313086925</v>
      </c>
      <c r="H13" s="820"/>
      <c r="I13" s="121"/>
    </row>
    <row r="14" spans="2:12" x14ac:dyDescent="0.25">
      <c r="B14" s="244" t="s">
        <v>245</v>
      </c>
      <c r="C14" s="243">
        <f>SUMIFS(Annual!$F$9:$F$22,Annual!$AF$9:$AF$22,"IE",Annual!$C$9:$C$22,C5,Annual!$D$9:$D$22,C6)</f>
        <v>6</v>
      </c>
      <c r="D14" s="243">
        <f>SUMIFS(Annual!$F$9:$F$22,Annual!$AF$9:$AF$22,"IE",Annual!$C$9:$C$22,D5,Annual!$D$9:$D$22,D6)</f>
        <v>15</v>
      </c>
      <c r="E14" s="243">
        <f>SUMIFS(Annual!$F$9:$F$22,Annual!$AF$9:$AF$22,"IE",Annual!$C$9:$C$22,E5,Annual!$D$9:$D$22,E6)</f>
        <v>7</v>
      </c>
      <c r="F14" s="243">
        <f>SUMIFS(Annual!$F$9:$F$22,Annual!$AF$9:$AF$22,"IE",Annual!$C$9:$C$22,F5,Annual!$D$9:$D$22,F6)</f>
        <v>2</v>
      </c>
      <c r="G14" s="243">
        <f>SUMIFS(Annual!$F$9:$F$22,Annual!$AF$9:$AF$22,"IE",Annual!$C$9:$C$22,G5,Annual!$D$9:$D$22,G6)</f>
        <v>9</v>
      </c>
      <c r="H14" s="820"/>
      <c r="I14" s="121"/>
      <c r="K14" s="380"/>
    </row>
    <row r="15" spans="2:12" x14ac:dyDescent="0.25">
      <c r="B15" s="942" t="s">
        <v>246</v>
      </c>
      <c r="C15" s="943">
        <f>C14*C13</f>
        <v>34.145802599999115</v>
      </c>
      <c r="D15" s="943">
        <f>D14*D13</f>
        <v>7024.1364566586399</v>
      </c>
      <c r="E15" s="943">
        <f>E14*E13</f>
        <v>3298.4193332851746</v>
      </c>
      <c r="F15" s="943">
        <f>F14*F13</f>
        <v>4027.1447175742851</v>
      </c>
      <c r="G15" s="943">
        <f>G14*G13</f>
        <v>7909.9337081778231</v>
      </c>
      <c r="H15" s="944">
        <f>SUM(C15:G15)</f>
        <v>22293.780018295922</v>
      </c>
      <c r="I15" s="945">
        <f>H15*10</f>
        <v>222937.80018295921</v>
      </c>
      <c r="K15" s="380"/>
    </row>
    <row r="17" spans="2:11" x14ac:dyDescent="0.25">
      <c r="B17" s="223" t="s">
        <v>33</v>
      </c>
      <c r="C17" s="35"/>
    </row>
    <row r="18" spans="2:11" x14ac:dyDescent="0.25">
      <c r="B18" s="1110" t="str">
        <f>"Ratepayers subsidize income eligible customers by "&amp;TEXT(Inputs!$E$103,"##%")&amp;". With CVEO, income eligible customers are expected to use less electricity due to solar, thereby reducing the amount that ratepayers subsidize income eligible customers."</f>
        <v>Ratepayers subsidize income eligible customers by 42%. With CVEO, income eligible customers are expected to use less electricity due to solar, thereby reducing the amount that ratepayers subsidize income eligible customers.</v>
      </c>
      <c r="C18" s="1110"/>
      <c r="D18" s="1110"/>
      <c r="E18" s="1110"/>
      <c r="F18" s="1110"/>
      <c r="G18" s="1110"/>
      <c r="H18" s="1110"/>
      <c r="I18" s="792"/>
      <c r="K18" s="34"/>
    </row>
    <row r="19" spans="2:11" x14ac:dyDescent="0.25">
      <c r="B19" s="1110"/>
      <c r="C19" s="1110"/>
      <c r="D19" s="1110"/>
      <c r="E19" s="1110"/>
      <c r="F19" s="1110"/>
      <c r="G19" s="1110"/>
      <c r="H19" s="1110"/>
      <c r="I19" s="792"/>
    </row>
    <row r="20" spans="2:11" x14ac:dyDescent="0.25">
      <c r="B20" s="1110" t="s">
        <v>709</v>
      </c>
      <c r="C20" s="1110"/>
      <c r="D20" s="1110"/>
      <c r="E20" s="1110"/>
      <c r="F20" s="1110"/>
      <c r="G20" s="1110"/>
      <c r="H20" s="1110"/>
      <c r="I20" s="792"/>
    </row>
    <row r="23" spans="2:11" x14ac:dyDescent="0.25">
      <c r="C23" s="34"/>
      <c r="D23" s="34"/>
      <c r="E23" s="34"/>
      <c r="F23" s="34"/>
      <c r="G23" s="34"/>
    </row>
    <row r="26" spans="2:11" x14ac:dyDescent="0.25">
      <c r="G26" s="34"/>
    </row>
  </sheetData>
  <mergeCells count="3">
    <mergeCell ref="B20:H20"/>
    <mergeCell ref="B18:H19"/>
    <mergeCell ref="H5:I5"/>
  </mergeCells>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AA65-E4BF-46DC-9D35-793EED8E3EE8}">
  <sheetPr codeName="Sheet4">
    <tabColor theme="9"/>
  </sheetPr>
  <dimension ref="B1:J154"/>
  <sheetViews>
    <sheetView showGridLines="0" zoomScale="85" zoomScaleNormal="85" workbookViewId="0"/>
  </sheetViews>
  <sheetFormatPr defaultColWidth="8.7109375" defaultRowHeight="15" x14ac:dyDescent="0.25"/>
  <cols>
    <col min="1" max="1" width="2.7109375" customWidth="1"/>
    <col min="2" max="2" width="3.7109375" style="13" bestFit="1" customWidth="1"/>
    <col min="3" max="3" width="81.42578125" customWidth="1"/>
    <col min="4" max="4" width="14" customWidth="1"/>
    <col min="5" max="5" width="16.140625" style="9" customWidth="1"/>
    <col min="6" max="6" width="95.28515625" customWidth="1"/>
    <col min="7" max="7" width="2.7109375" customWidth="1"/>
    <col min="8" max="8" width="13.140625" customWidth="1"/>
    <col min="9" max="9" width="11.140625" bestFit="1" customWidth="1"/>
    <col min="10" max="10" width="14.5703125" customWidth="1"/>
  </cols>
  <sheetData>
    <row r="1" spans="2:9" x14ac:dyDescent="0.25">
      <c r="D1" s="4"/>
    </row>
    <row r="2" spans="2:9" ht="21" x14ac:dyDescent="0.35">
      <c r="B2" s="261" t="s">
        <v>0</v>
      </c>
      <c r="D2" s="4"/>
    </row>
    <row r="3" spans="2:9" ht="21" x14ac:dyDescent="0.35">
      <c r="B3" s="203" t="s">
        <v>321</v>
      </c>
    </row>
    <row r="4" spans="2:9" ht="15.75" x14ac:dyDescent="0.25">
      <c r="B4" s="260" t="s">
        <v>795</v>
      </c>
      <c r="D4" s="4"/>
      <c r="E4" s="91"/>
    </row>
    <row r="5" spans="2:9" x14ac:dyDescent="0.25">
      <c r="E5" s="91"/>
    </row>
    <row r="6" spans="2:9" ht="18.75" x14ac:dyDescent="0.3">
      <c r="B6" s="982" t="s">
        <v>787</v>
      </c>
      <c r="C6" s="983"/>
      <c r="D6" s="983"/>
      <c r="E6" s="983"/>
      <c r="F6" s="984"/>
    </row>
    <row r="7" spans="2:9" ht="15.75" x14ac:dyDescent="0.25">
      <c r="B7" s="319"/>
      <c r="C7" s="320" t="s">
        <v>34</v>
      </c>
      <c r="D7" s="320" t="s">
        <v>35</v>
      </c>
      <c r="E7" s="320" t="s">
        <v>85</v>
      </c>
      <c r="F7" s="320" t="s">
        <v>794</v>
      </c>
    </row>
    <row r="8" spans="2:9" ht="15" customHeight="1" x14ac:dyDescent="0.25">
      <c r="B8" s="960" t="s">
        <v>36</v>
      </c>
      <c r="C8" s="37" t="s">
        <v>37</v>
      </c>
      <c r="D8" s="93" t="s">
        <v>38</v>
      </c>
      <c r="E8" s="108">
        <f>SUM(E13:E16)</f>
        <v>55</v>
      </c>
      <c r="F8" s="57" t="s">
        <v>371</v>
      </c>
      <c r="G8" t="s">
        <v>27</v>
      </c>
      <c r="H8" s="394"/>
    </row>
    <row r="9" spans="2:9" ht="15" customHeight="1" x14ac:dyDescent="0.25">
      <c r="B9" s="961"/>
      <c r="C9" s="36" t="s">
        <v>751</v>
      </c>
      <c r="D9" s="94" t="s">
        <v>39</v>
      </c>
      <c r="E9" s="107">
        <f>E13/$E$8</f>
        <v>0</v>
      </c>
      <c r="F9" s="45" t="s">
        <v>371</v>
      </c>
      <c r="G9" t="s">
        <v>27</v>
      </c>
    </row>
    <row r="10" spans="2:9" ht="15" customHeight="1" x14ac:dyDescent="0.25">
      <c r="B10" s="961"/>
      <c r="C10" s="36" t="s">
        <v>756</v>
      </c>
      <c r="D10" s="94" t="s">
        <v>39</v>
      </c>
      <c r="E10" s="107">
        <f t="shared" ref="E10:E12" si="0">E14/$E$8</f>
        <v>0.29090909090909089</v>
      </c>
      <c r="F10" s="45" t="s">
        <v>371</v>
      </c>
      <c r="G10" t="s">
        <v>27</v>
      </c>
    </row>
    <row r="11" spans="2:9" ht="15" customHeight="1" x14ac:dyDescent="0.25">
      <c r="B11" s="961"/>
      <c r="C11" s="39" t="s">
        <v>741</v>
      </c>
      <c r="D11" s="94" t="s">
        <v>39</v>
      </c>
      <c r="E11" s="107">
        <f t="shared" si="0"/>
        <v>0.14545454545454545</v>
      </c>
      <c r="F11" s="45" t="s">
        <v>371</v>
      </c>
      <c r="G11" t="s">
        <v>27</v>
      </c>
    </row>
    <row r="12" spans="2:9" ht="15" customHeight="1" x14ac:dyDescent="0.25">
      <c r="B12" s="961"/>
      <c r="C12" s="110" t="s">
        <v>746</v>
      </c>
      <c r="D12" s="111" t="s">
        <v>39</v>
      </c>
      <c r="E12" s="112">
        <f t="shared" si="0"/>
        <v>0.5636363636363636</v>
      </c>
      <c r="F12" s="113" t="s">
        <v>371</v>
      </c>
      <c r="G12" t="s">
        <v>27</v>
      </c>
    </row>
    <row r="13" spans="2:9" ht="15" customHeight="1" x14ac:dyDescent="0.25">
      <c r="B13" s="961"/>
      <c r="C13" s="36" t="s">
        <v>751</v>
      </c>
      <c r="D13" s="94" t="s">
        <v>38</v>
      </c>
      <c r="E13" s="90">
        <v>0</v>
      </c>
      <c r="F13" s="105" t="s">
        <v>382</v>
      </c>
      <c r="G13" t="s">
        <v>27</v>
      </c>
      <c r="H13" s="394"/>
      <c r="I13" s="394"/>
    </row>
    <row r="14" spans="2:9" ht="15" customHeight="1" x14ac:dyDescent="0.25">
      <c r="B14" s="961"/>
      <c r="C14" s="39" t="s">
        <v>756</v>
      </c>
      <c r="D14" s="94" t="s">
        <v>38</v>
      </c>
      <c r="E14" s="90">
        <v>16</v>
      </c>
      <c r="F14" s="105" t="s">
        <v>382</v>
      </c>
      <c r="G14" t="s">
        <v>27</v>
      </c>
      <c r="H14" s="394"/>
      <c r="I14" s="394"/>
    </row>
    <row r="15" spans="2:9" ht="15" customHeight="1" x14ac:dyDescent="0.25">
      <c r="B15" s="961"/>
      <c r="C15" s="39" t="s">
        <v>741</v>
      </c>
      <c r="D15" s="94" t="s">
        <v>38</v>
      </c>
      <c r="E15" s="90">
        <v>8</v>
      </c>
      <c r="F15" s="105" t="s">
        <v>382</v>
      </c>
      <c r="G15" t="s">
        <v>27</v>
      </c>
      <c r="H15" s="394"/>
      <c r="I15" s="394"/>
    </row>
    <row r="16" spans="2:9" x14ac:dyDescent="0.25">
      <c r="B16" s="962"/>
      <c r="C16" s="39" t="s">
        <v>746</v>
      </c>
      <c r="D16" s="94" t="s">
        <v>38</v>
      </c>
      <c r="E16" s="238">
        <v>31</v>
      </c>
      <c r="F16" s="106" t="s">
        <v>382</v>
      </c>
      <c r="G16" t="s">
        <v>27</v>
      </c>
      <c r="H16" s="394"/>
      <c r="I16" s="394"/>
    </row>
    <row r="17" spans="2:10" ht="15" customHeight="1" x14ac:dyDescent="0.25">
      <c r="B17" s="979" t="s">
        <v>41</v>
      </c>
      <c r="C17" s="37" t="s">
        <v>43</v>
      </c>
      <c r="D17" s="93" t="s">
        <v>42</v>
      </c>
      <c r="E17" s="76">
        <v>29106.799999999999</v>
      </c>
      <c r="F17" s="43" t="s">
        <v>782</v>
      </c>
      <c r="G17" t="s">
        <v>27</v>
      </c>
      <c r="H17" s="397"/>
      <c r="I17" s="396"/>
      <c r="J17" s="394"/>
    </row>
    <row r="18" spans="2:10" ht="15" customHeight="1" x14ac:dyDescent="0.25">
      <c r="B18" s="980"/>
      <c r="C18" s="36" t="s">
        <v>488</v>
      </c>
      <c r="D18" s="94" t="s">
        <v>42</v>
      </c>
      <c r="E18" s="76">
        <v>15000</v>
      </c>
      <c r="F18" s="11" t="s">
        <v>389</v>
      </c>
      <c r="G18" t="s">
        <v>27</v>
      </c>
    </row>
    <row r="19" spans="2:10" ht="15" customHeight="1" x14ac:dyDescent="0.25">
      <c r="B19" s="980"/>
      <c r="C19" s="10" t="s">
        <v>44</v>
      </c>
      <c r="D19" s="94" t="s">
        <v>546</v>
      </c>
      <c r="E19" s="89">
        <v>7.4991818181818166</v>
      </c>
      <c r="F19" s="18" t="s">
        <v>382</v>
      </c>
      <c r="G19" t="s">
        <v>27</v>
      </c>
      <c r="I19" s="398"/>
    </row>
    <row r="20" spans="2:10" x14ac:dyDescent="0.25">
      <c r="B20" s="980"/>
      <c r="C20" s="10" t="s">
        <v>44</v>
      </c>
      <c r="D20" s="94" t="s">
        <v>547</v>
      </c>
      <c r="E20" s="67">
        <f>E19*E22</f>
        <v>7.1692178181818162</v>
      </c>
      <c r="F20" s="15" t="s">
        <v>45</v>
      </c>
      <c r="G20" t="s">
        <v>27</v>
      </c>
      <c r="I20" s="399"/>
    </row>
    <row r="21" spans="2:10" x14ac:dyDescent="0.25">
      <c r="B21" s="980"/>
      <c r="C21" s="10" t="s">
        <v>46</v>
      </c>
      <c r="D21" s="94" t="s">
        <v>411</v>
      </c>
      <c r="E21" s="386">
        <v>7740.5272727272732</v>
      </c>
      <c r="F21" s="18" t="s">
        <v>382</v>
      </c>
      <c r="G21" t="s">
        <v>27</v>
      </c>
      <c r="I21" s="400"/>
    </row>
    <row r="22" spans="2:10" x14ac:dyDescent="0.25">
      <c r="B22" s="980"/>
      <c r="C22" s="10" t="s">
        <v>48</v>
      </c>
      <c r="D22" s="94" t="s">
        <v>49</v>
      </c>
      <c r="E22" s="79">
        <v>0.95599999999999996</v>
      </c>
      <c r="F22" s="71" t="s">
        <v>391</v>
      </c>
      <c r="G22" t="s">
        <v>27</v>
      </c>
      <c r="I22" s="401"/>
    </row>
    <row r="23" spans="2:10" x14ac:dyDescent="0.25">
      <c r="B23" s="980"/>
      <c r="C23" s="10" t="s">
        <v>50</v>
      </c>
      <c r="D23" s="94" t="s">
        <v>49</v>
      </c>
      <c r="E23" s="79">
        <v>0.14000000000000001</v>
      </c>
      <c r="F23" s="71" t="s">
        <v>390</v>
      </c>
      <c r="G23" t="s">
        <v>27</v>
      </c>
      <c r="I23" s="401"/>
    </row>
    <row r="24" spans="2:10" x14ac:dyDescent="0.25">
      <c r="B24" s="980"/>
      <c r="C24" s="231" t="s">
        <v>46</v>
      </c>
      <c r="D24" s="232" t="s">
        <v>411</v>
      </c>
      <c r="E24" s="233">
        <f>E20*E23*8760</f>
        <v>8792.3287322181804</v>
      </c>
      <c r="F24" s="234" t="s">
        <v>51</v>
      </c>
      <c r="G24" t="s">
        <v>27</v>
      </c>
      <c r="I24" s="402"/>
    </row>
    <row r="25" spans="2:10" s="6" customFormat="1" x14ac:dyDescent="0.25">
      <c r="B25" s="981"/>
      <c r="C25" s="115" t="s">
        <v>52</v>
      </c>
      <c r="D25" s="116"/>
      <c r="E25" s="240"/>
      <c r="F25" s="230"/>
      <c r="G25" t="s">
        <v>27</v>
      </c>
    </row>
    <row r="26" spans="2:10" ht="15" customHeight="1" x14ac:dyDescent="0.25">
      <c r="B26" s="976" t="s">
        <v>53</v>
      </c>
      <c r="C26" s="72" t="s">
        <v>126</v>
      </c>
      <c r="D26" s="98"/>
      <c r="E26" s="404"/>
      <c r="F26" s="74"/>
      <c r="G26" t="s">
        <v>27</v>
      </c>
    </row>
    <row r="27" spans="2:10" ht="15" customHeight="1" x14ac:dyDescent="0.25">
      <c r="B27" s="977"/>
      <c r="C27" s="36" t="s">
        <v>747</v>
      </c>
      <c r="D27" s="93" t="s">
        <v>39</v>
      </c>
      <c r="E27" s="376" t="str">
        <f>IFERROR(E31/E13,"n/a")</f>
        <v>n/a</v>
      </c>
      <c r="F27" s="105" t="s">
        <v>371</v>
      </c>
      <c r="G27" t="s">
        <v>27</v>
      </c>
    </row>
    <row r="28" spans="2:10" ht="15" customHeight="1" x14ac:dyDescent="0.25">
      <c r="B28" s="977"/>
      <c r="C28" s="36" t="s">
        <v>752</v>
      </c>
      <c r="D28" s="94" t="s">
        <v>39</v>
      </c>
      <c r="E28" s="378">
        <f>IFERROR(E32/E14,"n/a")</f>
        <v>0.1875</v>
      </c>
      <c r="F28" s="105" t="s">
        <v>371</v>
      </c>
      <c r="G28" t="s">
        <v>27</v>
      </c>
    </row>
    <row r="29" spans="2:10" ht="15" customHeight="1" x14ac:dyDescent="0.25">
      <c r="B29" s="977"/>
      <c r="C29" s="36" t="s">
        <v>737</v>
      </c>
      <c r="D29" s="94" t="s">
        <v>39</v>
      </c>
      <c r="E29" s="378">
        <f>IFERROR(E33/E15,"n/a")</f>
        <v>0</v>
      </c>
      <c r="F29" s="105" t="s">
        <v>371</v>
      </c>
      <c r="G29" t="s">
        <v>27</v>
      </c>
    </row>
    <row r="30" spans="2:10" ht="15" customHeight="1" x14ac:dyDescent="0.25">
      <c r="B30" s="977"/>
      <c r="C30" s="25" t="s">
        <v>742</v>
      </c>
      <c r="D30" s="95" t="s">
        <v>39</v>
      </c>
      <c r="E30" s="100">
        <f>IFERROR(E34/E16,"n/a")</f>
        <v>0.29032258064516131</v>
      </c>
      <c r="F30" s="106" t="s">
        <v>371</v>
      </c>
      <c r="G30" t="s">
        <v>27</v>
      </c>
    </row>
    <row r="31" spans="2:10" x14ac:dyDescent="0.25">
      <c r="B31" s="977"/>
      <c r="C31" s="36" t="s">
        <v>747</v>
      </c>
      <c r="D31" s="94" t="s">
        <v>38</v>
      </c>
      <c r="E31" s="387">
        <v>0</v>
      </c>
      <c r="F31" s="10" t="s">
        <v>783</v>
      </c>
      <c r="G31" t="s">
        <v>27</v>
      </c>
      <c r="I31" s="405"/>
    </row>
    <row r="32" spans="2:10" x14ac:dyDescent="0.25">
      <c r="B32" s="977"/>
      <c r="C32" s="36" t="s">
        <v>752</v>
      </c>
      <c r="D32" s="94" t="s">
        <v>38</v>
      </c>
      <c r="E32" s="503">
        <v>3</v>
      </c>
      <c r="F32" s="105" t="s">
        <v>388</v>
      </c>
      <c r="G32" t="s">
        <v>27</v>
      </c>
      <c r="H32" s="381"/>
      <c r="I32" s="405"/>
    </row>
    <row r="33" spans="2:9" x14ac:dyDescent="0.25">
      <c r="B33" s="977"/>
      <c r="C33" s="36" t="s">
        <v>737</v>
      </c>
      <c r="D33" s="94" t="s">
        <v>38</v>
      </c>
      <c r="E33" s="503">
        <v>0</v>
      </c>
      <c r="F33" s="105" t="s">
        <v>388</v>
      </c>
      <c r="G33" t="s">
        <v>27</v>
      </c>
      <c r="H33" s="4"/>
      <c r="I33" s="396"/>
    </row>
    <row r="34" spans="2:9" x14ac:dyDescent="0.25">
      <c r="B34" s="977"/>
      <c r="C34" s="36" t="s">
        <v>742</v>
      </c>
      <c r="D34" s="94" t="s">
        <v>38</v>
      </c>
      <c r="E34" s="503">
        <v>9</v>
      </c>
      <c r="F34" s="105" t="s">
        <v>388</v>
      </c>
      <c r="G34" t="s">
        <v>27</v>
      </c>
      <c r="H34" s="381"/>
      <c r="I34" s="396"/>
    </row>
    <row r="35" spans="2:9" x14ac:dyDescent="0.25">
      <c r="B35" s="977"/>
      <c r="C35" s="25" t="s">
        <v>54</v>
      </c>
      <c r="D35" s="95" t="s">
        <v>38</v>
      </c>
      <c r="E35" s="403">
        <f>SUM(E31:E34)</f>
        <v>12</v>
      </c>
      <c r="F35" s="106" t="s">
        <v>371</v>
      </c>
      <c r="G35" t="s">
        <v>27</v>
      </c>
      <c r="I35" s="396"/>
    </row>
    <row r="36" spans="2:9" ht="15" customHeight="1" x14ac:dyDescent="0.25">
      <c r="B36" s="977"/>
      <c r="C36" s="36" t="s">
        <v>748</v>
      </c>
      <c r="D36" s="94" t="s">
        <v>55</v>
      </c>
      <c r="E36" s="78">
        <v>0</v>
      </c>
      <c r="F36" s="10" t="s">
        <v>783</v>
      </c>
      <c r="G36" t="s">
        <v>27</v>
      </c>
      <c r="I36" s="396"/>
    </row>
    <row r="37" spans="2:9" ht="15" customHeight="1" x14ac:dyDescent="0.25">
      <c r="B37" s="977"/>
      <c r="C37" s="36" t="s">
        <v>753</v>
      </c>
      <c r="D37" s="94" t="s">
        <v>55</v>
      </c>
      <c r="E37" s="504">
        <v>1.6666666666666667</v>
      </c>
      <c r="F37" s="105" t="s">
        <v>482</v>
      </c>
      <c r="G37" t="s">
        <v>27</v>
      </c>
      <c r="I37" s="395"/>
    </row>
    <row r="38" spans="2:9" ht="15" customHeight="1" x14ac:dyDescent="0.25">
      <c r="B38" s="977"/>
      <c r="C38" s="36" t="s">
        <v>738</v>
      </c>
      <c r="D38" s="94" t="s">
        <v>55</v>
      </c>
      <c r="E38" s="504">
        <v>0</v>
      </c>
      <c r="F38" s="105" t="s">
        <v>483</v>
      </c>
      <c r="G38" t="s">
        <v>27</v>
      </c>
      <c r="I38" s="395"/>
    </row>
    <row r="39" spans="2:9" ht="15" customHeight="1" x14ac:dyDescent="0.25">
      <c r="B39" s="977"/>
      <c r="C39" s="36" t="s">
        <v>743</v>
      </c>
      <c r="D39" s="94" t="s">
        <v>55</v>
      </c>
      <c r="E39" s="504">
        <v>1.6666666666666667</v>
      </c>
      <c r="F39" s="105" t="s">
        <v>484</v>
      </c>
      <c r="G39" t="s">
        <v>27</v>
      </c>
      <c r="I39" s="395"/>
    </row>
    <row r="40" spans="2:9" x14ac:dyDescent="0.25">
      <c r="B40" s="977"/>
      <c r="C40" s="36" t="s">
        <v>56</v>
      </c>
      <c r="D40" s="94" t="s">
        <v>55</v>
      </c>
      <c r="E40" s="409">
        <f>ROUND(SUMPRODUCT(E31:E34,E36:E39),0)</f>
        <v>20</v>
      </c>
      <c r="F40" s="105" t="s">
        <v>40</v>
      </c>
      <c r="G40" t="s">
        <v>27</v>
      </c>
      <c r="I40" s="396"/>
    </row>
    <row r="41" spans="2:9" x14ac:dyDescent="0.25">
      <c r="B41" s="977"/>
      <c r="C41" s="72" t="s">
        <v>57</v>
      </c>
      <c r="D41" s="98"/>
      <c r="E41" s="73"/>
      <c r="F41" s="74"/>
      <c r="G41" t="s">
        <v>27</v>
      </c>
      <c r="I41" s="3"/>
    </row>
    <row r="42" spans="2:9" ht="15" customHeight="1" x14ac:dyDescent="0.25">
      <c r="B42" s="977"/>
      <c r="C42" s="10" t="s">
        <v>302</v>
      </c>
      <c r="D42" s="97" t="s">
        <v>42</v>
      </c>
      <c r="E42" s="76">
        <v>19887.72</v>
      </c>
      <c r="F42" s="43" t="s">
        <v>782</v>
      </c>
      <c r="G42" t="s">
        <v>27</v>
      </c>
      <c r="H42" s="407"/>
      <c r="I42" s="483"/>
    </row>
    <row r="43" spans="2:9" x14ac:dyDescent="0.25">
      <c r="B43" s="977"/>
      <c r="C43" s="68" t="s">
        <v>303</v>
      </c>
      <c r="D43" s="114" t="s">
        <v>39</v>
      </c>
      <c r="E43" s="140">
        <f>E45/E35</f>
        <v>0.25</v>
      </c>
      <c r="F43" s="43" t="s">
        <v>40</v>
      </c>
      <c r="G43" t="s">
        <v>27</v>
      </c>
    </row>
    <row r="44" spans="2:9" x14ac:dyDescent="0.25">
      <c r="B44" s="977"/>
      <c r="C44" s="72" t="s">
        <v>543</v>
      </c>
      <c r="D44" s="98"/>
      <c r="E44" s="73"/>
      <c r="F44" s="74"/>
      <c r="G44" t="s">
        <v>27</v>
      </c>
    </row>
    <row r="45" spans="2:9" x14ac:dyDescent="0.25">
      <c r="B45" s="977"/>
      <c r="C45" s="37" t="s">
        <v>538</v>
      </c>
      <c r="D45" s="423" t="s">
        <v>35</v>
      </c>
      <c r="E45" s="421">
        <v>3</v>
      </c>
      <c r="F45" s="422" t="s">
        <v>485</v>
      </c>
      <c r="G45" t="s">
        <v>27</v>
      </c>
    </row>
    <row r="46" spans="2:9" x14ac:dyDescent="0.25">
      <c r="B46" s="977"/>
      <c r="C46" s="10" t="s">
        <v>409</v>
      </c>
      <c r="D46" s="97" t="s">
        <v>410</v>
      </c>
      <c r="E46" s="78">
        <v>3.39</v>
      </c>
      <c r="F46" s="43" t="s">
        <v>486</v>
      </c>
      <c r="G46" t="s">
        <v>27</v>
      </c>
    </row>
    <row r="47" spans="2:9" ht="15" customHeight="1" x14ac:dyDescent="0.25">
      <c r="B47" s="977"/>
      <c r="C47" s="36" t="s">
        <v>408</v>
      </c>
      <c r="D47" s="173" t="s">
        <v>411</v>
      </c>
      <c r="E47" s="78">
        <f>13.5</f>
        <v>13.5</v>
      </c>
      <c r="F47" s="43" t="s">
        <v>387</v>
      </c>
      <c r="G47" t="s">
        <v>27</v>
      </c>
    </row>
    <row r="48" spans="2:9" ht="15" customHeight="1" x14ac:dyDescent="0.25">
      <c r="B48" s="977"/>
      <c r="C48" s="36" t="s">
        <v>304</v>
      </c>
      <c r="D48" s="173" t="s">
        <v>49</v>
      </c>
      <c r="E48" s="140">
        <v>0.9</v>
      </c>
      <c r="F48" s="43" t="s">
        <v>60</v>
      </c>
      <c r="G48" t="s">
        <v>27</v>
      </c>
    </row>
    <row r="49" spans="2:7" x14ac:dyDescent="0.25">
      <c r="B49" s="977"/>
      <c r="C49" s="36" t="s">
        <v>61</v>
      </c>
      <c r="D49" s="173" t="s">
        <v>62</v>
      </c>
      <c r="E49" s="500">
        <f>SUM(E50:E53)</f>
        <v>45</v>
      </c>
      <c r="F49" s="43" t="s">
        <v>371</v>
      </c>
      <c r="G49" t="s">
        <v>27</v>
      </c>
    </row>
    <row r="50" spans="2:7" x14ac:dyDescent="0.25">
      <c r="B50" s="977"/>
      <c r="C50" s="181" t="s">
        <v>63</v>
      </c>
      <c r="D50" s="173" t="s">
        <v>62</v>
      </c>
      <c r="E50" s="501">
        <v>2</v>
      </c>
      <c r="F50" s="43" t="s">
        <v>544</v>
      </c>
      <c r="G50" t="s">
        <v>27</v>
      </c>
    </row>
    <row r="51" spans="2:7" x14ac:dyDescent="0.25">
      <c r="B51" s="977"/>
      <c r="C51" s="181" t="s">
        <v>64</v>
      </c>
      <c r="D51" s="173" t="s">
        <v>62</v>
      </c>
      <c r="E51" s="501">
        <v>27</v>
      </c>
      <c r="F51" s="43" t="s">
        <v>544</v>
      </c>
      <c r="G51" t="s">
        <v>27</v>
      </c>
    </row>
    <row r="52" spans="2:7" x14ac:dyDescent="0.25">
      <c r="B52" s="977"/>
      <c r="C52" s="181" t="s">
        <v>65</v>
      </c>
      <c r="D52" s="173" t="s">
        <v>62</v>
      </c>
      <c r="E52" s="501">
        <v>16</v>
      </c>
      <c r="F52" s="43" t="s">
        <v>544</v>
      </c>
      <c r="G52" t="s">
        <v>27</v>
      </c>
    </row>
    <row r="53" spans="2:7" x14ac:dyDescent="0.25">
      <c r="B53" s="977"/>
      <c r="C53" s="181" t="s">
        <v>66</v>
      </c>
      <c r="D53" s="173" t="s">
        <v>62</v>
      </c>
      <c r="E53" s="501">
        <v>0</v>
      </c>
      <c r="F53" s="43" t="s">
        <v>544</v>
      </c>
      <c r="G53" t="s">
        <v>27</v>
      </c>
    </row>
    <row r="54" spans="2:7" x14ac:dyDescent="0.25">
      <c r="B54" s="978"/>
      <c r="C54" s="12" t="s">
        <v>67</v>
      </c>
      <c r="D54" s="75" t="s">
        <v>68</v>
      </c>
      <c r="E54" s="238">
        <v>2</v>
      </c>
      <c r="F54" s="40" t="s">
        <v>487</v>
      </c>
      <c r="G54" t="s">
        <v>27</v>
      </c>
    </row>
    <row r="55" spans="2:7" ht="15" customHeight="1" x14ac:dyDescent="0.25">
      <c r="B55" s="957" t="s">
        <v>15</v>
      </c>
      <c r="C55" s="36" t="s">
        <v>749</v>
      </c>
      <c r="D55" s="173" t="s">
        <v>126</v>
      </c>
      <c r="E55" s="90">
        <v>0</v>
      </c>
      <c r="F55" s="43" t="s">
        <v>382</v>
      </c>
      <c r="G55" t="s">
        <v>27</v>
      </c>
    </row>
    <row r="56" spans="2:7" x14ac:dyDescent="0.25">
      <c r="B56" s="959"/>
      <c r="C56" s="36" t="s">
        <v>754</v>
      </c>
      <c r="D56" s="173" t="s">
        <v>126</v>
      </c>
      <c r="E56" s="90">
        <v>15</v>
      </c>
      <c r="F56" s="43" t="s">
        <v>382</v>
      </c>
      <c r="G56" t="s">
        <v>27</v>
      </c>
    </row>
    <row r="57" spans="2:7" x14ac:dyDescent="0.25">
      <c r="B57" s="959"/>
      <c r="C57" s="36" t="s">
        <v>739</v>
      </c>
      <c r="D57" s="173" t="s">
        <v>126</v>
      </c>
      <c r="E57" s="90">
        <v>2</v>
      </c>
      <c r="F57" s="43" t="s">
        <v>539</v>
      </c>
      <c r="G57" t="s">
        <v>27</v>
      </c>
    </row>
    <row r="58" spans="2:7" x14ac:dyDescent="0.25">
      <c r="B58" s="959"/>
      <c r="C58" s="25" t="s">
        <v>744</v>
      </c>
      <c r="D58" s="424" t="s">
        <v>126</v>
      </c>
      <c r="E58" s="238">
        <v>28</v>
      </c>
      <c r="F58" s="40" t="s">
        <v>539</v>
      </c>
      <c r="G58" t="s">
        <v>27</v>
      </c>
    </row>
    <row r="59" spans="2:7" x14ac:dyDescent="0.25">
      <c r="B59" s="959"/>
      <c r="C59" s="36" t="s">
        <v>69</v>
      </c>
      <c r="D59" s="173" t="s">
        <v>126</v>
      </c>
      <c r="E59" s="90">
        <v>3</v>
      </c>
      <c r="F59" s="43" t="s">
        <v>382</v>
      </c>
      <c r="G59" t="s">
        <v>27</v>
      </c>
    </row>
    <row r="60" spans="2:7" x14ac:dyDescent="0.25">
      <c r="B60" s="959"/>
      <c r="C60" s="36" t="s">
        <v>70</v>
      </c>
      <c r="D60" s="173" t="s">
        <v>126</v>
      </c>
      <c r="E60" s="90">
        <v>11</v>
      </c>
      <c r="F60" s="43" t="s">
        <v>382</v>
      </c>
      <c r="G60" t="s">
        <v>27</v>
      </c>
    </row>
    <row r="61" spans="2:7" x14ac:dyDescent="0.25">
      <c r="B61" s="959"/>
      <c r="C61" s="36" t="s">
        <v>71</v>
      </c>
      <c r="D61" s="173" t="s">
        <v>126</v>
      </c>
      <c r="E61" s="90">
        <v>31</v>
      </c>
      <c r="F61" s="43" t="s">
        <v>539</v>
      </c>
      <c r="G61" t="s">
        <v>27</v>
      </c>
    </row>
    <row r="62" spans="2:7" x14ac:dyDescent="0.25">
      <c r="B62" s="959"/>
      <c r="C62" s="25" t="s">
        <v>72</v>
      </c>
      <c r="D62" s="424" t="s">
        <v>126</v>
      </c>
      <c r="E62" s="70">
        <v>38</v>
      </c>
      <c r="F62" s="40" t="s">
        <v>539</v>
      </c>
      <c r="G62" t="s">
        <v>27</v>
      </c>
    </row>
    <row r="63" spans="2:7" x14ac:dyDescent="0.25">
      <c r="B63" s="954" t="s">
        <v>354</v>
      </c>
      <c r="C63" s="11" t="s">
        <v>750</v>
      </c>
      <c r="D63" s="173" t="s">
        <v>38</v>
      </c>
      <c r="E63" s="90">
        <v>0</v>
      </c>
      <c r="F63" s="43" t="s">
        <v>382</v>
      </c>
      <c r="G63" t="s">
        <v>27</v>
      </c>
    </row>
    <row r="64" spans="2:7" x14ac:dyDescent="0.25">
      <c r="B64" s="955"/>
      <c r="C64" s="11" t="s">
        <v>755</v>
      </c>
      <c r="D64" s="173" t="s">
        <v>38</v>
      </c>
      <c r="E64" s="90">
        <v>3</v>
      </c>
      <c r="F64" s="43" t="s">
        <v>382</v>
      </c>
      <c r="G64" t="s">
        <v>27</v>
      </c>
    </row>
    <row r="65" spans="2:7" x14ac:dyDescent="0.25">
      <c r="B65" s="955"/>
      <c r="C65" s="11" t="s">
        <v>740</v>
      </c>
      <c r="D65" s="173" t="s">
        <v>38</v>
      </c>
      <c r="E65" s="90">
        <v>1</v>
      </c>
      <c r="F65" s="43" t="s">
        <v>382</v>
      </c>
      <c r="G65" t="s">
        <v>27</v>
      </c>
    </row>
    <row r="66" spans="2:7" x14ac:dyDescent="0.25">
      <c r="B66" s="955"/>
      <c r="C66" s="11" t="s">
        <v>745</v>
      </c>
      <c r="D66" s="173" t="s">
        <v>38</v>
      </c>
      <c r="E66" s="90">
        <v>4</v>
      </c>
      <c r="F66" s="43" t="s">
        <v>382</v>
      </c>
      <c r="G66" t="s">
        <v>27</v>
      </c>
    </row>
    <row r="67" spans="2:7" x14ac:dyDescent="0.25">
      <c r="B67" s="956"/>
      <c r="C67" s="11" t="s">
        <v>413</v>
      </c>
      <c r="D67" s="173" t="s">
        <v>412</v>
      </c>
      <c r="E67" s="101">
        <v>1109.99875</v>
      </c>
      <c r="F67" s="43" t="s">
        <v>382</v>
      </c>
      <c r="G67" t="s">
        <v>27</v>
      </c>
    </row>
    <row r="68" spans="2:7" ht="15.75" x14ac:dyDescent="0.25">
      <c r="B68" s="319"/>
      <c r="C68" s="320" t="s">
        <v>34</v>
      </c>
      <c r="D68" s="320" t="s">
        <v>35</v>
      </c>
      <c r="E68" s="320" t="s">
        <v>85</v>
      </c>
      <c r="F68" s="320" t="s">
        <v>794</v>
      </c>
    </row>
    <row r="69" spans="2:7" ht="15" customHeight="1" x14ac:dyDescent="0.25">
      <c r="B69" s="966" t="s">
        <v>350</v>
      </c>
      <c r="C69" s="17" t="s">
        <v>73</v>
      </c>
      <c r="D69" s="96" t="s">
        <v>49</v>
      </c>
      <c r="E69" s="141">
        <v>7.0240989018074823E-2</v>
      </c>
      <c r="F69" s="88" t="s">
        <v>533</v>
      </c>
      <c r="G69" t="s">
        <v>27</v>
      </c>
    </row>
    <row r="70" spans="2:7" ht="15" customHeight="1" x14ac:dyDescent="0.25">
      <c r="B70" s="967"/>
      <c r="C70" s="10" t="s">
        <v>536</v>
      </c>
      <c r="D70" s="97" t="s">
        <v>38</v>
      </c>
      <c r="E70" s="90">
        <v>6</v>
      </c>
      <c r="F70" s="43" t="s">
        <v>784</v>
      </c>
      <c r="G70" t="s">
        <v>27</v>
      </c>
    </row>
    <row r="71" spans="2:7" ht="15" customHeight="1" x14ac:dyDescent="0.25">
      <c r="B71" s="967"/>
      <c r="C71" s="10" t="s">
        <v>537</v>
      </c>
      <c r="D71" s="97" t="s">
        <v>58</v>
      </c>
      <c r="E71" s="90">
        <v>104703</v>
      </c>
      <c r="F71" s="43" t="s">
        <v>785</v>
      </c>
      <c r="G71" t="s">
        <v>27</v>
      </c>
    </row>
    <row r="72" spans="2:7" x14ac:dyDescent="0.25">
      <c r="B72" s="967"/>
      <c r="C72" s="10" t="s">
        <v>74</v>
      </c>
      <c r="D72" s="97" t="s">
        <v>59</v>
      </c>
      <c r="E72" s="69">
        <v>7</v>
      </c>
      <c r="F72" s="43" t="s">
        <v>75</v>
      </c>
      <c r="G72" t="s">
        <v>27</v>
      </c>
    </row>
    <row r="73" spans="2:7" x14ac:dyDescent="0.25">
      <c r="B73" s="967"/>
      <c r="C73" s="12" t="s">
        <v>305</v>
      </c>
      <c r="D73" s="75" t="s">
        <v>76</v>
      </c>
      <c r="E73" s="70">
        <v>12</v>
      </c>
      <c r="F73" s="61" t="s">
        <v>77</v>
      </c>
      <c r="G73" t="s">
        <v>27</v>
      </c>
    </row>
    <row r="74" spans="2:7" ht="15" customHeight="1" x14ac:dyDescent="0.25">
      <c r="B74" s="973" t="s">
        <v>78</v>
      </c>
      <c r="C74" s="72" t="s">
        <v>306</v>
      </c>
      <c r="D74" s="98"/>
      <c r="E74" s="73"/>
      <c r="F74" s="74"/>
      <c r="G74" t="s">
        <v>27</v>
      </c>
    </row>
    <row r="75" spans="2:7" x14ac:dyDescent="0.25">
      <c r="B75" s="974"/>
      <c r="C75" s="36" t="s">
        <v>531</v>
      </c>
      <c r="D75" s="94" t="s">
        <v>58</v>
      </c>
      <c r="E75" s="142">
        <v>126988.69999999998</v>
      </c>
      <c r="F75" s="43" t="s">
        <v>382</v>
      </c>
      <c r="G75" t="s">
        <v>27</v>
      </c>
    </row>
    <row r="76" spans="2:7" x14ac:dyDescent="0.25">
      <c r="B76" s="974"/>
      <c r="C76" s="36" t="s">
        <v>527</v>
      </c>
      <c r="D76" s="94" t="s">
        <v>58</v>
      </c>
      <c r="E76" s="142">
        <v>15525</v>
      </c>
      <c r="F76" s="43" t="s">
        <v>382</v>
      </c>
      <c r="G76" t="s">
        <v>27</v>
      </c>
    </row>
    <row r="77" spans="2:7" x14ac:dyDescent="0.25">
      <c r="B77" s="974"/>
      <c r="C77" s="36" t="s">
        <v>528</v>
      </c>
      <c r="D77" s="94" t="s">
        <v>58</v>
      </c>
      <c r="E77" s="142">
        <v>170464.23499999999</v>
      </c>
      <c r="F77" s="43" t="s">
        <v>382</v>
      </c>
      <c r="G77" t="s">
        <v>27</v>
      </c>
    </row>
    <row r="78" spans="2:7" x14ac:dyDescent="0.25">
      <c r="B78" s="974"/>
      <c r="C78" s="36" t="s">
        <v>532</v>
      </c>
      <c r="D78" s="94" t="s">
        <v>58</v>
      </c>
      <c r="E78" s="142">
        <v>74658.62</v>
      </c>
      <c r="F78" s="43" t="s">
        <v>382</v>
      </c>
      <c r="G78" t="s">
        <v>27</v>
      </c>
    </row>
    <row r="79" spans="2:7" x14ac:dyDescent="0.25">
      <c r="B79" s="974"/>
      <c r="C79" s="36" t="s">
        <v>530</v>
      </c>
      <c r="D79" s="94" t="s">
        <v>58</v>
      </c>
      <c r="E79" s="142">
        <v>36114.775000000001</v>
      </c>
      <c r="F79" s="43" t="s">
        <v>382</v>
      </c>
      <c r="G79" t="s">
        <v>27</v>
      </c>
    </row>
    <row r="80" spans="2:7" x14ac:dyDescent="0.25">
      <c r="B80" s="974"/>
      <c r="C80" s="36" t="s">
        <v>529</v>
      </c>
      <c r="D80" s="94" t="s">
        <v>58</v>
      </c>
      <c r="E80" s="142">
        <v>145035.08500000002</v>
      </c>
      <c r="F80" s="43" t="s">
        <v>382</v>
      </c>
      <c r="G80" t="s">
        <v>27</v>
      </c>
    </row>
    <row r="81" spans="2:7" x14ac:dyDescent="0.25">
      <c r="B81" s="974"/>
      <c r="C81" s="36" t="s">
        <v>700</v>
      </c>
      <c r="D81" s="94"/>
      <c r="E81" s="142">
        <v>210</v>
      </c>
      <c r="F81" s="43" t="s">
        <v>382</v>
      </c>
      <c r="G81" t="s">
        <v>27</v>
      </c>
    </row>
    <row r="82" spans="2:7" x14ac:dyDescent="0.25">
      <c r="B82" s="974"/>
      <c r="C82" s="36" t="s">
        <v>534</v>
      </c>
      <c r="D82" s="94" t="s">
        <v>58</v>
      </c>
      <c r="E82" s="142">
        <v>14738.4</v>
      </c>
      <c r="F82" s="43" t="s">
        <v>382</v>
      </c>
      <c r="G82" t="s">
        <v>27</v>
      </c>
    </row>
    <row r="83" spans="2:7" x14ac:dyDescent="0.25">
      <c r="B83" s="974"/>
      <c r="C83" s="36" t="s">
        <v>535</v>
      </c>
      <c r="D83" s="94" t="s">
        <v>58</v>
      </c>
      <c r="E83" s="142">
        <v>44537.715000000004</v>
      </c>
      <c r="F83" s="43" t="s">
        <v>382</v>
      </c>
      <c r="G83" t="s">
        <v>27</v>
      </c>
    </row>
    <row r="84" spans="2:7" ht="15" customHeight="1" x14ac:dyDescent="0.25">
      <c r="B84" s="974"/>
      <c r="C84" s="72" t="s">
        <v>80</v>
      </c>
      <c r="D84" s="98"/>
      <c r="E84" s="73"/>
      <c r="F84" s="74"/>
      <c r="G84" t="s">
        <v>27</v>
      </c>
    </row>
    <row r="85" spans="2:7" x14ac:dyDescent="0.25">
      <c r="B85" s="974"/>
      <c r="C85" s="36" t="s">
        <v>751</v>
      </c>
      <c r="D85" s="94" t="s">
        <v>58</v>
      </c>
      <c r="E85" s="142">
        <v>0</v>
      </c>
      <c r="F85" s="43" t="s">
        <v>393</v>
      </c>
      <c r="G85" t="s">
        <v>27</v>
      </c>
    </row>
    <row r="86" spans="2:7" x14ac:dyDescent="0.25">
      <c r="B86" s="974"/>
      <c r="C86" s="36" t="s">
        <v>756</v>
      </c>
      <c r="D86" s="94" t="s">
        <v>58</v>
      </c>
      <c r="E86" s="142">
        <v>0</v>
      </c>
      <c r="F86" s="43" t="s">
        <v>393</v>
      </c>
      <c r="G86" t="s">
        <v>27</v>
      </c>
    </row>
    <row r="87" spans="2:7" x14ac:dyDescent="0.25">
      <c r="B87" s="974"/>
      <c r="C87" s="36" t="s">
        <v>741</v>
      </c>
      <c r="D87" s="94" t="s">
        <v>58</v>
      </c>
      <c r="E87" s="142">
        <v>0</v>
      </c>
      <c r="F87" s="43" t="s">
        <v>393</v>
      </c>
      <c r="G87" t="s">
        <v>27</v>
      </c>
    </row>
    <row r="88" spans="2:7" x14ac:dyDescent="0.25">
      <c r="B88" s="974"/>
      <c r="C88" s="36" t="s">
        <v>746</v>
      </c>
      <c r="D88" s="94" t="s">
        <v>58</v>
      </c>
      <c r="E88" s="142">
        <v>0</v>
      </c>
      <c r="F88" s="43" t="s">
        <v>393</v>
      </c>
      <c r="G88" t="s">
        <v>27</v>
      </c>
    </row>
    <row r="89" spans="2:7" x14ac:dyDescent="0.25">
      <c r="B89" s="974"/>
      <c r="C89" s="72" t="s">
        <v>81</v>
      </c>
      <c r="D89" s="98"/>
      <c r="E89" s="73"/>
      <c r="F89" s="74"/>
      <c r="G89" t="s">
        <v>27</v>
      </c>
    </row>
    <row r="90" spans="2:7" x14ac:dyDescent="0.25">
      <c r="B90" s="974"/>
      <c r="C90" s="36" t="s">
        <v>82</v>
      </c>
      <c r="D90" s="94" t="s">
        <v>58</v>
      </c>
      <c r="E90" s="142">
        <v>238762.04200000002</v>
      </c>
      <c r="F90" s="43" t="s">
        <v>382</v>
      </c>
      <c r="G90" t="s">
        <v>27</v>
      </c>
    </row>
    <row r="91" spans="2:7" x14ac:dyDescent="0.25">
      <c r="B91" s="975"/>
      <c r="C91" s="25" t="s">
        <v>83</v>
      </c>
      <c r="D91" s="95" t="s">
        <v>58</v>
      </c>
      <c r="E91" s="143">
        <v>61066.058000000005</v>
      </c>
      <c r="F91" s="68" t="s">
        <v>382</v>
      </c>
      <c r="G91" t="s">
        <v>27</v>
      </c>
    </row>
    <row r="92" spans="2:7" x14ac:dyDescent="0.25">
      <c r="G92" t="s">
        <v>27</v>
      </c>
    </row>
    <row r="93" spans="2:7" x14ac:dyDescent="0.25">
      <c r="G93" t="s">
        <v>27</v>
      </c>
    </row>
    <row r="94" spans="2:7" ht="18.75" x14ac:dyDescent="0.3">
      <c r="B94" s="982" t="s">
        <v>84</v>
      </c>
      <c r="C94" s="983"/>
      <c r="D94" s="983"/>
      <c r="E94" s="983"/>
      <c r="F94" s="984"/>
      <c r="G94" t="s">
        <v>27</v>
      </c>
    </row>
    <row r="95" spans="2:7" ht="15.75" x14ac:dyDescent="0.25">
      <c r="B95" s="319"/>
      <c r="C95" s="321" t="s">
        <v>34</v>
      </c>
      <c r="D95" s="322" t="s">
        <v>35</v>
      </c>
      <c r="E95" s="323" t="s">
        <v>85</v>
      </c>
      <c r="F95" s="324"/>
      <c r="G95" t="s">
        <v>27</v>
      </c>
    </row>
    <row r="96" spans="2:7" x14ac:dyDescent="0.25">
      <c r="B96" s="968" t="s">
        <v>86</v>
      </c>
      <c r="C96" s="36" t="s">
        <v>308</v>
      </c>
      <c r="D96" s="36" t="s">
        <v>87</v>
      </c>
      <c r="E96" s="585">
        <v>3.83</v>
      </c>
      <c r="F96" s="43" t="s">
        <v>552</v>
      </c>
      <c r="G96" t="s">
        <v>27</v>
      </c>
    </row>
    <row r="97" spans="2:8" x14ac:dyDescent="0.25">
      <c r="B97" s="969"/>
      <c r="C97" s="36" t="s">
        <v>309</v>
      </c>
      <c r="D97" s="36" t="s">
        <v>87</v>
      </c>
      <c r="E97" s="586">
        <v>3.34</v>
      </c>
      <c r="F97" s="68" t="s">
        <v>552</v>
      </c>
      <c r="G97" t="s">
        <v>27</v>
      </c>
    </row>
    <row r="98" spans="2:8" x14ac:dyDescent="0.25">
      <c r="B98" s="970" t="s">
        <v>88</v>
      </c>
      <c r="C98" s="38" t="s">
        <v>314</v>
      </c>
      <c r="D98" s="41" t="s">
        <v>89</v>
      </c>
      <c r="E98" s="66">
        <f>BillsDetail!G30*12</f>
        <v>120</v>
      </c>
      <c r="F98" s="43" t="s">
        <v>683</v>
      </c>
      <c r="G98" t="s">
        <v>27</v>
      </c>
    </row>
    <row r="99" spans="2:8" x14ac:dyDescent="0.25">
      <c r="B99" s="971"/>
      <c r="C99" s="39" t="s">
        <v>315</v>
      </c>
      <c r="D99" s="42" t="s">
        <v>90</v>
      </c>
      <c r="E99" s="788">
        <f>SUM(BillsDetail!G31:G50,BillsDetail!G52:G54)</f>
        <v>0.30076999999999998</v>
      </c>
      <c r="F99" s="43" t="s">
        <v>684</v>
      </c>
      <c r="G99" t="s">
        <v>27</v>
      </c>
    </row>
    <row r="100" spans="2:8" x14ac:dyDescent="0.25">
      <c r="B100" s="971"/>
      <c r="C100" s="39" t="s">
        <v>316</v>
      </c>
      <c r="D100" s="42" t="s">
        <v>90</v>
      </c>
      <c r="E100" s="788">
        <f>SUM(BillsDetail!G140:G159,BillsDetail!G161:G163)</f>
        <v>0.29464000000000001</v>
      </c>
      <c r="F100" s="43" t="s">
        <v>684</v>
      </c>
      <c r="G100" t="s">
        <v>27</v>
      </c>
    </row>
    <row r="101" spans="2:8" x14ac:dyDescent="0.25">
      <c r="B101" s="971"/>
      <c r="C101" s="39" t="s">
        <v>681</v>
      </c>
      <c r="D101" s="42" t="s">
        <v>90</v>
      </c>
      <c r="E101" s="788">
        <f>EES!E22</f>
        <v>2.8649999999999998E-2</v>
      </c>
      <c r="F101" s="43" t="s">
        <v>683</v>
      </c>
      <c r="G101" t="s">
        <v>27</v>
      </c>
    </row>
    <row r="102" spans="2:8" x14ac:dyDescent="0.25">
      <c r="B102" s="971"/>
      <c r="C102" s="39" t="s">
        <v>682</v>
      </c>
      <c r="D102" s="42" t="s">
        <v>90</v>
      </c>
      <c r="E102" s="788">
        <f>EES!I22</f>
        <v>3.1660000000000001E-2</v>
      </c>
      <c r="F102" s="43" t="s">
        <v>683</v>
      </c>
      <c r="G102" t="s">
        <v>27</v>
      </c>
    </row>
    <row r="103" spans="2:8" x14ac:dyDescent="0.25">
      <c r="B103" s="972"/>
      <c r="C103" s="39" t="s">
        <v>91</v>
      </c>
      <c r="D103" s="42" t="s">
        <v>49</v>
      </c>
      <c r="E103" s="100">
        <f>BillsDetail!G109</f>
        <v>0.42</v>
      </c>
      <c r="F103" s="43" t="s">
        <v>685</v>
      </c>
      <c r="G103" t="s">
        <v>27</v>
      </c>
    </row>
    <row r="104" spans="2:8" x14ac:dyDescent="0.25">
      <c r="B104" s="963" t="s">
        <v>92</v>
      </c>
      <c r="C104" s="37" t="s">
        <v>310</v>
      </c>
      <c r="D104" s="17" t="s">
        <v>47</v>
      </c>
      <c r="E104" s="790">
        <f>BillsSummary!E10*12</f>
        <v>6360</v>
      </c>
      <c r="F104" s="159" t="s">
        <v>685</v>
      </c>
      <c r="G104" t="s">
        <v>27</v>
      </c>
    </row>
    <row r="105" spans="2:8" x14ac:dyDescent="0.25">
      <c r="B105" s="964"/>
      <c r="C105" s="36" t="s">
        <v>311</v>
      </c>
      <c r="D105" s="10" t="s">
        <v>47</v>
      </c>
      <c r="E105" s="790">
        <f>BillsSummary!E12*12</f>
        <v>5700</v>
      </c>
      <c r="F105" s="160" t="s">
        <v>685</v>
      </c>
      <c r="G105" t="s">
        <v>27</v>
      </c>
    </row>
    <row r="106" spans="2:8" x14ac:dyDescent="0.25">
      <c r="B106" s="965"/>
      <c r="C106" s="36" t="s">
        <v>312</v>
      </c>
      <c r="D106" s="36" t="s">
        <v>47</v>
      </c>
      <c r="E106" s="790">
        <f>BillsSummary!E14*12</f>
        <v>8940</v>
      </c>
      <c r="F106" s="160" t="s">
        <v>685</v>
      </c>
      <c r="G106" t="s">
        <v>27</v>
      </c>
      <c r="H106" s="22"/>
    </row>
    <row r="107" spans="2:8" x14ac:dyDescent="0.25">
      <c r="B107" s="965"/>
      <c r="C107" s="36" t="s">
        <v>313</v>
      </c>
      <c r="D107" s="36" t="s">
        <v>47</v>
      </c>
      <c r="E107" s="790">
        <f>BillsSummary!E16*12</f>
        <v>9960</v>
      </c>
      <c r="F107" s="160" t="s">
        <v>685</v>
      </c>
      <c r="G107" t="s">
        <v>27</v>
      </c>
      <c r="H107" s="22"/>
    </row>
    <row r="108" spans="2:8" x14ac:dyDescent="0.25">
      <c r="B108" s="965"/>
      <c r="C108" s="25" t="s">
        <v>664</v>
      </c>
      <c r="D108" s="25" t="s">
        <v>47</v>
      </c>
      <c r="E108" s="595">
        <v>569</v>
      </c>
      <c r="F108" s="789" t="s">
        <v>93</v>
      </c>
      <c r="G108" t="s">
        <v>27</v>
      </c>
    </row>
    <row r="109" spans="2:8" s="180" customFormat="1" x14ac:dyDescent="0.25">
      <c r="B109" s="957" t="s">
        <v>94</v>
      </c>
      <c r="C109" s="358" t="s">
        <v>95</v>
      </c>
      <c r="D109" s="362" t="s">
        <v>49</v>
      </c>
      <c r="E109" s="587">
        <v>2.0999999999999999E-3</v>
      </c>
      <c r="F109" s="359"/>
      <c r="G109" t="s">
        <v>27</v>
      </c>
    </row>
    <row r="110" spans="2:8" s="180" customFormat="1" x14ac:dyDescent="0.25">
      <c r="B110" s="958"/>
      <c r="C110" s="360" t="s">
        <v>518</v>
      </c>
      <c r="D110" s="363" t="s">
        <v>49</v>
      </c>
      <c r="E110" s="793">
        <v>1.9800000000000002E-2</v>
      </c>
      <c r="F110" s="361"/>
      <c r="G110" t="s">
        <v>27</v>
      </c>
    </row>
    <row r="111" spans="2:8" x14ac:dyDescent="0.25">
      <c r="G111" t="s">
        <v>27</v>
      </c>
    </row>
    <row r="112" spans="2:8" ht="47.25" x14ac:dyDescent="0.25">
      <c r="B112" s="951" t="s">
        <v>96</v>
      </c>
      <c r="C112" s="325" t="s">
        <v>97</v>
      </c>
      <c r="D112" s="326" t="s">
        <v>98</v>
      </c>
      <c r="E112" s="327" t="s">
        <v>545</v>
      </c>
      <c r="F112" s="325" t="s">
        <v>100</v>
      </c>
      <c r="G112" t="s">
        <v>27</v>
      </c>
    </row>
    <row r="113" spans="2:7" x14ac:dyDescent="0.25">
      <c r="B113" s="952"/>
      <c r="C113" s="246" t="s">
        <v>35</v>
      </c>
      <c r="D113" s="178" t="s">
        <v>90</v>
      </c>
      <c r="E113" s="183" t="s">
        <v>49</v>
      </c>
      <c r="F113" s="191" t="s">
        <v>49</v>
      </c>
      <c r="G113" t="s">
        <v>27</v>
      </c>
    </row>
    <row r="114" spans="2:7" x14ac:dyDescent="0.25">
      <c r="B114" s="952"/>
      <c r="C114" s="247" t="s">
        <v>101</v>
      </c>
      <c r="D114" s="255">
        <f>SUMIFS(Wholesale!$X$10:$X$337,Wholesale!$D$10:$D$337,".Z.SEMASS",Wholesale!$F$10:$F$337,"All",Wholesale!$Z$10:$Z$337,MONTH(DATEVALUE(C114&amp;" 1")))/1000</f>
        <v>4.6359999999999998E-2</v>
      </c>
      <c r="E114" s="589">
        <v>5.9304226053352373E-2</v>
      </c>
      <c r="F114" s="245">
        <v>0.16338151554971528</v>
      </c>
      <c r="G114" t="s">
        <v>27</v>
      </c>
    </row>
    <row r="115" spans="2:7" x14ac:dyDescent="0.25">
      <c r="B115" s="952"/>
      <c r="C115" s="43" t="s">
        <v>102</v>
      </c>
      <c r="D115" s="256">
        <f>SUMIFS(Wholesale!$X$10:$X$337,Wholesale!$D$10:$D$337,".Z.SEMASS",Wholesale!$F$10:$F$337,"All",Wholesale!$Z$10:$Z$337,MONTH(DATEVALUE(C115&amp;" 1")))/1000</f>
        <v>3.5580000000000001E-2</v>
      </c>
      <c r="E115" s="388">
        <v>7.056160122921061E-2</v>
      </c>
      <c r="F115" s="109">
        <v>0.2087896043217988</v>
      </c>
      <c r="G115" t="s">
        <v>27</v>
      </c>
    </row>
    <row r="116" spans="2:7" x14ac:dyDescent="0.25">
      <c r="B116" s="952"/>
      <c r="C116" s="43" t="s">
        <v>103</v>
      </c>
      <c r="D116" s="256">
        <f>SUMIFS(Wholesale!$X$10:$X$337,Wholesale!$D$10:$D$337,".Z.SEMASS",Wholesale!$F$10:$F$337,"All",Wholesale!$Z$10:$Z$337,MONTH(DATEVALUE(C116&amp;" 1")))/1000</f>
        <v>3.8429999999999999E-2</v>
      </c>
      <c r="E116" s="388">
        <v>9.1691796536674613E-2</v>
      </c>
      <c r="F116" s="109">
        <v>0.14002044094028326</v>
      </c>
      <c r="G116" t="s">
        <v>27</v>
      </c>
    </row>
    <row r="117" spans="2:7" x14ac:dyDescent="0.25">
      <c r="B117" s="952"/>
      <c r="C117" s="43" t="s">
        <v>104</v>
      </c>
      <c r="D117" s="256">
        <f>SUMIFS(Wholesale!$X$10:$X$337,Wholesale!$D$10:$D$337,".Z.SEMASS",Wholesale!$F$10:$F$337,"All",Wholesale!$Z$10:$Z$337,MONTH(DATEVALUE(C117&amp;" 1")))/1000</f>
        <v>3.9399999999999998E-2</v>
      </c>
      <c r="E117" s="388">
        <v>9.5902218316044743E-2</v>
      </c>
      <c r="F117" s="109">
        <v>8.1909767849321066E-2</v>
      </c>
      <c r="G117" t="s">
        <v>27</v>
      </c>
    </row>
    <row r="118" spans="2:7" x14ac:dyDescent="0.25">
      <c r="B118" s="952"/>
      <c r="C118" s="43" t="s">
        <v>105</v>
      </c>
      <c r="D118" s="256">
        <f>SUMIFS(Wholesale!$X$10:$X$337,Wholesale!$D$10:$D$337,".Z.SEMASS",Wholesale!$F$10:$F$337,"All",Wholesale!$Z$10:$Z$337,MONTH(DATEVALUE(C118&amp;" 1")))/1000</f>
        <v>4.827E-2</v>
      </c>
      <c r="E118" s="388">
        <v>0.10405019139401983</v>
      </c>
      <c r="F118" s="109">
        <v>5.577456563001898E-2</v>
      </c>
      <c r="G118" t="s">
        <v>27</v>
      </c>
    </row>
    <row r="119" spans="2:7" x14ac:dyDescent="0.25">
      <c r="B119" s="952"/>
      <c r="C119" s="43" t="s">
        <v>106</v>
      </c>
      <c r="D119" s="256">
        <f>SUMIFS(Wholesale!$X$10:$X$337,Wholesale!$D$10:$D$337,".Z.SEMASS",Wholesale!$F$10:$F$337,"All",Wholesale!$Z$10:$Z$337,MONTH(DATEVALUE(C119&amp;" 1")))/1000</f>
        <v>5.8689999999999999E-2</v>
      </c>
      <c r="E119" s="388">
        <v>9.7397110361162206E-2</v>
      </c>
      <c r="F119" s="109">
        <v>2.044094028325303E-2</v>
      </c>
      <c r="G119" t="s">
        <v>27</v>
      </c>
    </row>
    <row r="120" spans="2:7" x14ac:dyDescent="0.25">
      <c r="B120" s="952"/>
      <c r="C120" s="43" t="s">
        <v>107</v>
      </c>
      <c r="D120" s="256">
        <f>SUMIFS(Wholesale!$X$10:$X$337,Wholesale!$D$10:$D$337,".Z.SEMASS",Wholesale!$F$10:$F$337,"All",Wholesale!$Z$10:$Z$337,MONTH(DATEVALUE(C120&amp;" 1")))/1000</f>
        <v>5.5409999999999994E-2</v>
      </c>
      <c r="E120" s="388">
        <v>0.10459025798272056</v>
      </c>
      <c r="F120" s="109">
        <v>3.9421813403416554E-3</v>
      </c>
      <c r="G120" t="s">
        <v>27</v>
      </c>
    </row>
    <row r="121" spans="2:7" x14ac:dyDescent="0.25">
      <c r="B121" s="952"/>
      <c r="C121" s="43" t="s">
        <v>108</v>
      </c>
      <c r="D121" s="256">
        <f>SUMIFS(Wholesale!$X$10:$X$337,Wholesale!$D$10:$D$337,".Z.SEMASS",Wholesale!$F$10:$F$337,"All",Wholesale!$Z$10:$Z$337,MONTH(DATEVALUE(C121&amp;" 1")))/1000</f>
        <v>5.1479999999999998E-2</v>
      </c>
      <c r="E121" s="388">
        <v>9.9163535033348085E-2</v>
      </c>
      <c r="F121" s="109">
        <v>5.5482552197401083E-3</v>
      </c>
      <c r="G121" t="s">
        <v>27</v>
      </c>
    </row>
    <row r="122" spans="2:7" x14ac:dyDescent="0.25">
      <c r="B122" s="952"/>
      <c r="C122" s="43" t="s">
        <v>109</v>
      </c>
      <c r="D122" s="256">
        <f>SUMIFS(Wholesale!$X$10:$X$337,Wholesale!$D$10:$D$337,".Z.SEMASS",Wholesale!$F$10:$F$337,"All",Wholesale!$Z$10:$Z$337,MONTH(DATEVALUE(C122&amp;" 1")))/1000</f>
        <v>5.4880000000000005E-2</v>
      </c>
      <c r="E122" s="388">
        <v>9.3858976615798895E-2</v>
      </c>
      <c r="F122" s="109">
        <v>1.9272886552781428E-2</v>
      </c>
      <c r="G122" t="s">
        <v>27</v>
      </c>
    </row>
    <row r="123" spans="2:7" x14ac:dyDescent="0.25">
      <c r="B123" s="952"/>
      <c r="C123" s="43" t="s">
        <v>110</v>
      </c>
      <c r="D123" s="256">
        <f>SUMIFS(Wholesale!$X$10:$X$337,Wholesale!$D$10:$D$337,".Z.SEMASS",Wholesale!$F$10:$F$337,"All",Wholesale!$Z$10:$Z$337,MONTH(DATEVALUE(C123&amp;" 1")))/1000</f>
        <v>5.9859999999999997E-2</v>
      </c>
      <c r="E123" s="388">
        <v>7.6465910496739911E-2</v>
      </c>
      <c r="F123" s="109">
        <v>4.0589867133888159E-2</v>
      </c>
      <c r="G123" t="s">
        <v>27</v>
      </c>
    </row>
    <row r="124" spans="2:7" x14ac:dyDescent="0.25">
      <c r="B124" s="952"/>
      <c r="C124" s="43" t="s">
        <v>111</v>
      </c>
      <c r="D124" s="256">
        <f>SUMIFS(Wholesale!$X$10:$X$337,Wholesale!$D$10:$D$337,".Z.SEMASS",Wholesale!$F$10:$F$337,"All",Wholesale!$Z$10:$Z$337,MONTH(DATEVALUE(C124&amp;" 1")))/1000</f>
        <v>0.10368000000000001</v>
      </c>
      <c r="E124" s="388">
        <v>5.8509626541612472E-2</v>
      </c>
      <c r="F124" s="109">
        <v>0.10643889618922471</v>
      </c>
      <c r="G124" t="s">
        <v>27</v>
      </c>
    </row>
    <row r="125" spans="2:7" x14ac:dyDescent="0.25">
      <c r="B125" s="952"/>
      <c r="C125" s="68" t="s">
        <v>112</v>
      </c>
      <c r="D125" s="256">
        <f>SUMIFS(Wholesale!$X$10:$X$337,Wholesale!$D$10:$D$337,".Z.SEMASS",Wholesale!$F$10:$F$337,"All",Wholesale!$Z$10:$Z$337,MONTH(DATEVALUE(C125&amp;" 1")))/1000</f>
        <v>7.7920000000000003E-2</v>
      </c>
      <c r="E125" s="590">
        <v>4.8504549439315578E-2</v>
      </c>
      <c r="F125" s="109">
        <v>0.15389107898963353</v>
      </c>
      <c r="G125" t="s">
        <v>27</v>
      </c>
    </row>
    <row r="126" spans="2:7" x14ac:dyDescent="0.25">
      <c r="B126" s="953"/>
      <c r="C126" s="267" t="s">
        <v>113</v>
      </c>
      <c r="D126" s="182" t="s">
        <v>114</v>
      </c>
      <c r="E126" s="588" t="s">
        <v>698</v>
      </c>
      <c r="F126" s="179" t="s">
        <v>115</v>
      </c>
      <c r="G126" t="s">
        <v>27</v>
      </c>
    </row>
    <row r="127" spans="2:7" x14ac:dyDescent="0.25">
      <c r="G127" s="157"/>
    </row>
    <row r="128" spans="2:7" x14ac:dyDescent="0.25">
      <c r="F128" s="385"/>
      <c r="G128" s="157"/>
    </row>
    <row r="129" spans="5:6" x14ac:dyDescent="0.25">
      <c r="E129" s="408" t="s">
        <v>34</v>
      </c>
    </row>
    <row r="130" spans="5:6" x14ac:dyDescent="0.25">
      <c r="E130" s="505" t="s">
        <v>371</v>
      </c>
    </row>
    <row r="138" spans="5:6" x14ac:dyDescent="0.25">
      <c r="F138" t="s">
        <v>27</v>
      </c>
    </row>
    <row r="142" spans="5:6" x14ac:dyDescent="0.25">
      <c r="F142" s="92"/>
    </row>
    <row r="143" spans="5:6" x14ac:dyDescent="0.25">
      <c r="F143" s="92"/>
    </row>
    <row r="144" spans="5:6" x14ac:dyDescent="0.25">
      <c r="F144" s="92"/>
    </row>
    <row r="145" spans="6:6" x14ac:dyDescent="0.25">
      <c r="F145" s="92"/>
    </row>
    <row r="146" spans="6:6" x14ac:dyDescent="0.25">
      <c r="F146" s="92"/>
    </row>
    <row r="147" spans="6:6" x14ac:dyDescent="0.25">
      <c r="F147" s="92"/>
    </row>
    <row r="148" spans="6:6" x14ac:dyDescent="0.25">
      <c r="F148" s="92"/>
    </row>
    <row r="149" spans="6:6" x14ac:dyDescent="0.25">
      <c r="F149" s="92"/>
    </row>
    <row r="150" spans="6:6" x14ac:dyDescent="0.25">
      <c r="F150" s="92"/>
    </row>
    <row r="151" spans="6:6" x14ac:dyDescent="0.25">
      <c r="F151" s="92"/>
    </row>
    <row r="154" spans="6:6" x14ac:dyDescent="0.25">
      <c r="F154" t="s">
        <v>27</v>
      </c>
    </row>
  </sheetData>
  <mergeCells count="14">
    <mergeCell ref="B6:F6"/>
    <mergeCell ref="B94:F94"/>
    <mergeCell ref="B112:B126"/>
    <mergeCell ref="B63:B67"/>
    <mergeCell ref="B109:B110"/>
    <mergeCell ref="B55:B62"/>
    <mergeCell ref="B8:B16"/>
    <mergeCell ref="B104:B108"/>
    <mergeCell ref="B69:B73"/>
    <mergeCell ref="B96:B97"/>
    <mergeCell ref="B98:B103"/>
    <mergeCell ref="B74:B91"/>
    <mergeCell ref="B26:B54"/>
    <mergeCell ref="B17:B25"/>
  </mergeCells>
  <pageMargins left="0.7" right="0.7" top="0.75" bottom="0.75" header="0.3" footer="0.3"/>
  <pageSetup scale="47" fitToHeight="3" orientation="landscape" r:id="rId1"/>
  <rowBreaks count="1" manualBreakCount="1">
    <brk id="67" min="1"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E0420-A748-4605-8E73-9B4864CE928C}">
  <sheetPr codeName="Sheet17">
    <tabColor theme="4" tint="0.39997558519241921"/>
    <pageSetUpPr fitToPage="1"/>
  </sheetPr>
  <dimension ref="B1:J12"/>
  <sheetViews>
    <sheetView showGridLines="0" zoomScale="85" zoomScaleNormal="85" workbookViewId="0"/>
  </sheetViews>
  <sheetFormatPr defaultRowHeight="15" x14ac:dyDescent="0.25"/>
  <cols>
    <col min="1" max="1" width="2.7109375" customWidth="1"/>
    <col min="2" max="2" width="25.5703125" bestFit="1" customWidth="1"/>
    <col min="3" max="5" width="11.5703125" bestFit="1" customWidth="1"/>
    <col min="6" max="6" width="12.5703125" bestFit="1" customWidth="1"/>
    <col min="7" max="7" width="10.42578125" bestFit="1" customWidth="1"/>
    <col min="8" max="8" width="12.85546875" bestFit="1" customWidth="1"/>
    <col min="9" max="9" width="10.5703125" bestFit="1" customWidth="1"/>
    <col min="10" max="10" width="11.5703125" bestFit="1" customWidth="1"/>
    <col min="11" max="11" width="2.7109375" customWidth="1"/>
  </cols>
  <sheetData>
    <row r="1" spans="2:10" x14ac:dyDescent="0.25">
      <c r="B1" s="117"/>
      <c r="H1" s="4"/>
    </row>
    <row r="2" spans="2:10" ht="21" x14ac:dyDescent="0.35">
      <c r="B2" s="261" t="s">
        <v>0</v>
      </c>
      <c r="D2" s="4"/>
    </row>
    <row r="3" spans="2:10" ht="21" x14ac:dyDescent="0.35">
      <c r="B3" s="203" t="s">
        <v>319</v>
      </c>
    </row>
    <row r="4" spans="2:10" x14ac:dyDescent="0.25">
      <c r="B4" s="117"/>
      <c r="H4" s="4"/>
    </row>
    <row r="5" spans="2:10" x14ac:dyDescent="0.25">
      <c r="B5" s="310" t="s">
        <v>235</v>
      </c>
      <c r="C5" s="1113" t="s">
        <v>778</v>
      </c>
      <c r="D5" s="1114"/>
      <c r="E5" s="1114"/>
      <c r="F5" s="1115"/>
      <c r="G5" s="1113" t="s">
        <v>777</v>
      </c>
      <c r="H5" s="1114"/>
      <c r="I5" s="1114"/>
      <c r="J5" s="1115"/>
    </row>
    <row r="6" spans="2:10" x14ac:dyDescent="0.25">
      <c r="B6" s="311"/>
      <c r="C6" s="312">
        <v>2022</v>
      </c>
      <c r="D6" s="313">
        <v>2023</v>
      </c>
      <c r="E6" s="313">
        <v>2024</v>
      </c>
      <c r="F6" s="314" t="s">
        <v>236</v>
      </c>
      <c r="G6" s="312">
        <v>2022</v>
      </c>
      <c r="H6" s="304">
        <v>2023</v>
      </c>
      <c r="I6" s="313">
        <v>2024</v>
      </c>
      <c r="J6" s="314" t="s">
        <v>236</v>
      </c>
    </row>
    <row r="7" spans="2:10" x14ac:dyDescent="0.25">
      <c r="B7" s="204" t="s">
        <v>237</v>
      </c>
      <c r="C7" s="852">
        <v>30891872.765605837</v>
      </c>
      <c r="D7" s="917">
        <v>38112820.162385099</v>
      </c>
      <c r="E7" s="917">
        <v>42665076.459494337</v>
      </c>
      <c r="F7" s="21">
        <f>SUM(C7:E7)</f>
        <v>111669769.38748528</v>
      </c>
      <c r="G7" s="119"/>
      <c r="H7" s="629"/>
      <c r="I7" s="120">
        <f>Budget!G6</f>
        <v>1896802.6519999998</v>
      </c>
      <c r="J7" s="21">
        <f>SUM(G7:I7)</f>
        <v>1896802.6519999998</v>
      </c>
    </row>
    <row r="8" spans="2:10" x14ac:dyDescent="0.25">
      <c r="B8" s="204" t="s">
        <v>238</v>
      </c>
      <c r="C8" s="852">
        <v>9402872.4107623305</v>
      </c>
      <c r="D8" s="917">
        <v>14301320.686053116</v>
      </c>
      <c r="E8" s="917">
        <v>18509837.263839871</v>
      </c>
      <c r="F8" s="21">
        <f t="shared" ref="F8:F9" si="0">SUM(C8:E8)</f>
        <v>42214030.360655315</v>
      </c>
      <c r="G8" s="119"/>
      <c r="H8" s="24"/>
      <c r="I8" s="120">
        <f>Budget!G13</f>
        <v>3117328.1180000002</v>
      </c>
      <c r="J8" s="21">
        <f t="shared" ref="J8" si="1">SUM(G8:I8)</f>
        <v>3117328.1180000002</v>
      </c>
    </row>
    <row r="9" spans="2:10" x14ac:dyDescent="0.25">
      <c r="B9" s="204" t="s">
        <v>239</v>
      </c>
      <c r="C9" s="852">
        <v>9414643.243631836</v>
      </c>
      <c r="D9" s="917">
        <v>13400468.141561788</v>
      </c>
      <c r="E9" s="917">
        <v>20415018.62666579</v>
      </c>
      <c r="F9" s="21">
        <f t="shared" si="0"/>
        <v>43230130.011859417</v>
      </c>
      <c r="G9" s="119"/>
      <c r="H9" s="24"/>
      <c r="I9" s="24"/>
      <c r="J9" s="122"/>
    </row>
    <row r="10" spans="2:10" x14ac:dyDescent="0.25">
      <c r="B10" s="205" t="s">
        <v>240</v>
      </c>
      <c r="C10" s="62">
        <f>SUM(C7:C9)</f>
        <v>49709388.420000002</v>
      </c>
      <c r="D10" s="26">
        <f t="shared" ref="D10:F10" si="2">SUM(D7:D9)</f>
        <v>65814608.99000001</v>
      </c>
      <c r="E10" s="26">
        <f t="shared" si="2"/>
        <v>81589932.349999994</v>
      </c>
      <c r="F10" s="21">
        <f t="shared" si="2"/>
        <v>197113929.76000002</v>
      </c>
      <c r="G10" s="62">
        <f>SUM(G7:G9)</f>
        <v>0</v>
      </c>
      <c r="H10" s="26">
        <f t="shared" ref="H10" si="3">SUM(H7:H9)</f>
        <v>0</v>
      </c>
      <c r="I10" s="26">
        <f t="shared" ref="I10" si="4">SUM(I7:I9)</f>
        <v>5014130.7699999996</v>
      </c>
      <c r="J10" s="63">
        <f t="shared" ref="J10" si="5">SUM(J7:J9)</f>
        <v>5014130.7699999996</v>
      </c>
    </row>
    <row r="11" spans="2:10" x14ac:dyDescent="0.25">
      <c r="B11" s="384" t="s">
        <v>420</v>
      </c>
      <c r="C11" s="940">
        <f t="shared" ref="C11:J11" si="6">IFERROR(C8/C10,"")</f>
        <v>0.18915687176266269</v>
      </c>
      <c r="D11" s="940">
        <f t="shared" si="6"/>
        <v>0.2172970546436899</v>
      </c>
      <c r="E11" s="940">
        <f t="shared" si="6"/>
        <v>0.22686423104798509</v>
      </c>
      <c r="F11" s="941">
        <f t="shared" si="6"/>
        <v>0.21416056395432756</v>
      </c>
      <c r="G11" s="940" t="str">
        <f t="shared" si="6"/>
        <v/>
      </c>
      <c r="H11" s="940" t="str">
        <f t="shared" si="6"/>
        <v/>
      </c>
      <c r="I11" s="940">
        <f t="shared" si="6"/>
        <v>0.62170857941146207</v>
      </c>
      <c r="J11" s="941">
        <f t="shared" si="6"/>
        <v>0.62170857941146207</v>
      </c>
    </row>
    <row r="12" spans="2:10" x14ac:dyDescent="0.25">
      <c r="G12" s="22"/>
      <c r="H12" s="22"/>
      <c r="I12" s="22"/>
      <c r="J12" s="22"/>
    </row>
  </sheetData>
  <mergeCells count="2">
    <mergeCell ref="C5:F5"/>
    <mergeCell ref="G5:J5"/>
  </mergeCells>
  <pageMargins left="0.7" right="0.7" top="0.75" bottom="0.75" header="0.3" footer="0.3"/>
  <pageSetup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F3BE2-3F68-4664-8CB6-B56282F8C1BF}">
  <sheetPr codeName="Sheet18">
    <tabColor theme="4" tint="0.39997558519241921"/>
    <pageSetUpPr fitToPage="1"/>
  </sheetPr>
  <dimension ref="B2:F26"/>
  <sheetViews>
    <sheetView showGridLines="0" zoomScale="85" zoomScaleNormal="85" workbookViewId="0"/>
  </sheetViews>
  <sheetFormatPr defaultColWidth="9.140625" defaultRowHeight="15" x14ac:dyDescent="0.25"/>
  <cols>
    <col min="1" max="1" width="2.7109375" customWidth="1"/>
    <col min="2" max="2" width="39.28515625" customWidth="1"/>
    <col min="3" max="3" width="8.28515625" bestFit="1" customWidth="1"/>
    <col min="4" max="4" width="8.5703125" customWidth="1"/>
    <col min="5" max="5" width="64.42578125" bestFit="1" customWidth="1"/>
    <col min="6" max="6" width="15.140625" customWidth="1"/>
  </cols>
  <sheetData>
    <row r="2" spans="2:6" ht="21" x14ac:dyDescent="0.35">
      <c r="B2" s="261" t="s">
        <v>0</v>
      </c>
      <c r="D2" s="4"/>
    </row>
    <row r="3" spans="2:6" ht="21" x14ac:dyDescent="0.35">
      <c r="B3" s="203" t="s">
        <v>230</v>
      </c>
      <c r="C3" s="23"/>
    </row>
    <row r="5" spans="2:6" ht="15.75" x14ac:dyDescent="0.25">
      <c r="B5" s="389" t="s">
        <v>376</v>
      </c>
      <c r="C5" s="390" t="s">
        <v>35</v>
      </c>
      <c r="D5" s="390" t="s">
        <v>85</v>
      </c>
      <c r="E5" s="320" t="s">
        <v>33</v>
      </c>
    </row>
    <row r="6" spans="2:6" x14ac:dyDescent="0.25">
      <c r="B6" s="36" t="s">
        <v>366</v>
      </c>
      <c r="C6" s="18" t="s">
        <v>367</v>
      </c>
      <c r="D6" s="392">
        <v>2</v>
      </c>
      <c r="E6" s="10" t="s">
        <v>379</v>
      </c>
    </row>
    <row r="7" spans="2:6" x14ac:dyDescent="0.25">
      <c r="B7" s="36" t="s">
        <v>368</v>
      </c>
      <c r="C7" s="18" t="s">
        <v>369</v>
      </c>
      <c r="D7" s="392">
        <v>180</v>
      </c>
      <c r="E7" s="10" t="s">
        <v>378</v>
      </c>
    </row>
    <row r="8" spans="2:6" x14ac:dyDescent="0.25">
      <c r="B8" s="36" t="s">
        <v>231</v>
      </c>
      <c r="C8" s="18" t="s">
        <v>381</v>
      </c>
      <c r="D8" s="393">
        <v>7</v>
      </c>
      <c r="E8" s="10"/>
    </row>
    <row r="9" spans="2:6" x14ac:dyDescent="0.25">
      <c r="B9" s="25" t="s">
        <v>370</v>
      </c>
      <c r="C9" s="61" t="s">
        <v>58</v>
      </c>
      <c r="D9" s="63">
        <f>D8*D7</f>
        <v>1260</v>
      </c>
      <c r="E9" s="12" t="s">
        <v>380</v>
      </c>
    </row>
    <row r="14" spans="2:6" s="8" customFormat="1" x14ac:dyDescent="0.25">
      <c r="B14"/>
      <c r="C14"/>
      <c r="D14"/>
      <c r="E14"/>
      <c r="F14"/>
    </row>
    <row r="16" spans="2:6" s="6" customFormat="1" x14ac:dyDescent="0.25">
      <c r="B16"/>
      <c r="C16"/>
      <c r="D16"/>
      <c r="E16"/>
      <c r="F16"/>
    </row>
    <row r="26" spans="2:6" s="180" customFormat="1" ht="30" customHeight="1" x14ac:dyDescent="0.25">
      <c r="B26"/>
      <c r="C26"/>
      <c r="D26"/>
      <c r="E26"/>
      <c r="F26"/>
    </row>
  </sheetData>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78F7F-3BC6-4AC3-9737-4B905B759453}">
  <sheetPr codeName="Sheet22">
    <tabColor theme="4" tint="0.39997558519241921"/>
    <pageSetUpPr fitToPage="1"/>
  </sheetPr>
  <dimension ref="B2:G14"/>
  <sheetViews>
    <sheetView showGridLines="0" zoomScale="85" zoomScaleNormal="85" workbookViewId="0"/>
  </sheetViews>
  <sheetFormatPr defaultRowHeight="15" x14ac:dyDescent="0.25"/>
  <cols>
    <col min="1" max="1" width="2.7109375" customWidth="1"/>
    <col min="2" max="2" width="39.7109375" bestFit="1" customWidth="1"/>
    <col min="3" max="3" width="8.28515625" customWidth="1"/>
    <col min="4" max="4" width="10.5703125" bestFit="1" customWidth="1"/>
    <col min="5" max="5" width="61" customWidth="1"/>
  </cols>
  <sheetData>
    <row r="2" spans="2:7" ht="21" x14ac:dyDescent="0.35">
      <c r="B2" s="261" t="s">
        <v>0</v>
      </c>
      <c r="D2" s="4"/>
    </row>
    <row r="3" spans="2:7" ht="21" x14ac:dyDescent="0.35">
      <c r="B3" s="203" t="s">
        <v>377</v>
      </c>
      <c r="E3" s="4"/>
    </row>
    <row r="5" spans="2:7" x14ac:dyDescent="0.25">
      <c r="B5" s="308" t="s">
        <v>376</v>
      </c>
      <c r="C5" s="309" t="s">
        <v>35</v>
      </c>
      <c r="D5" s="276" t="s">
        <v>85</v>
      </c>
      <c r="E5" s="275" t="s">
        <v>33</v>
      </c>
    </row>
    <row r="6" spans="2:7" x14ac:dyDescent="0.25">
      <c r="B6" s="36" t="s">
        <v>219</v>
      </c>
      <c r="C6" s="18" t="s">
        <v>47</v>
      </c>
      <c r="D6" s="20">
        <f>Inputs!$E$17</f>
        <v>29106.799999999999</v>
      </c>
      <c r="E6" s="10"/>
      <c r="G6" s="375"/>
    </row>
    <row r="7" spans="2:7" x14ac:dyDescent="0.25">
      <c r="B7" s="36" t="s">
        <v>220</v>
      </c>
      <c r="C7" s="18" t="s">
        <v>221</v>
      </c>
      <c r="D7" s="20">
        <f>Inputs!E8</f>
        <v>55</v>
      </c>
      <c r="E7" s="10" t="s">
        <v>222</v>
      </c>
      <c r="G7" s="375"/>
    </row>
    <row r="8" spans="2:7" x14ac:dyDescent="0.25">
      <c r="B8" s="36" t="s">
        <v>223</v>
      </c>
      <c r="C8" s="18" t="s">
        <v>47</v>
      </c>
      <c r="D8" s="20">
        <f>D6*D7</f>
        <v>1600874</v>
      </c>
      <c r="E8" s="10"/>
      <c r="G8" s="375"/>
    </row>
    <row r="9" spans="2:7" x14ac:dyDescent="0.25">
      <c r="B9" s="36" t="s">
        <v>223</v>
      </c>
      <c r="C9" s="18" t="s">
        <v>224</v>
      </c>
      <c r="D9" s="20">
        <f>ROUNDDOWN(D8/1000,0)</f>
        <v>1600</v>
      </c>
      <c r="E9" s="10"/>
      <c r="G9" s="375"/>
    </row>
    <row r="10" spans="2:7" x14ac:dyDescent="0.25">
      <c r="B10" s="36" t="s">
        <v>225</v>
      </c>
      <c r="C10" s="18" t="s">
        <v>226</v>
      </c>
      <c r="D10" s="249">
        <v>39</v>
      </c>
      <c r="E10" s="11" t="s">
        <v>397</v>
      </c>
      <c r="G10" s="375"/>
    </row>
    <row r="11" spans="2:7" x14ac:dyDescent="0.25">
      <c r="B11" s="36" t="s">
        <v>227</v>
      </c>
      <c r="C11" s="18" t="s">
        <v>58</v>
      </c>
      <c r="D11" s="414">
        <f>D10*D9</f>
        <v>62400</v>
      </c>
      <c r="E11" s="11" t="s">
        <v>348</v>
      </c>
      <c r="G11" s="375"/>
    </row>
    <row r="12" spans="2:7" x14ac:dyDescent="0.25">
      <c r="B12" s="36" t="s">
        <v>365</v>
      </c>
      <c r="C12" s="18" t="s">
        <v>58</v>
      </c>
      <c r="D12" s="250">
        <f>D11/D7</f>
        <v>1134.5454545454545</v>
      </c>
      <c r="E12" s="10"/>
    </row>
    <row r="13" spans="2:7" s="180" customFormat="1" ht="45" x14ac:dyDescent="0.25">
      <c r="B13" s="251" t="s">
        <v>228</v>
      </c>
      <c r="C13" s="248" t="s">
        <v>59</v>
      </c>
      <c r="D13" s="252">
        <v>10</v>
      </c>
      <c r="E13" s="253" t="s">
        <v>318</v>
      </c>
    </row>
    <row r="14" spans="2:7" x14ac:dyDescent="0.25">
      <c r="B14" s="25" t="s">
        <v>229</v>
      </c>
      <c r="C14" s="61" t="s">
        <v>58</v>
      </c>
      <c r="D14" s="357">
        <f>D11*D13</f>
        <v>624000</v>
      </c>
      <c r="E14" s="391"/>
    </row>
  </sheetData>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6013-B659-494D-95D2-063DED0BB947}">
  <sheetPr codeName="Sheet23">
    <tabColor theme="0" tint="-0.499984740745262"/>
  </sheetPr>
  <dimension ref="B2:E54"/>
  <sheetViews>
    <sheetView showGridLines="0" zoomScale="85" zoomScaleNormal="85" workbookViewId="0"/>
  </sheetViews>
  <sheetFormatPr defaultColWidth="9.140625" defaultRowHeight="15" x14ac:dyDescent="0.25"/>
  <cols>
    <col min="1" max="1" width="2.7109375" style="31" customWidth="1"/>
    <col min="2" max="2" width="20" style="31" customWidth="1"/>
    <col min="3" max="3" width="26" style="31" customWidth="1"/>
    <col min="4" max="5" width="16.28515625" style="31" customWidth="1"/>
    <col min="6" max="16384" width="9.140625" style="31"/>
  </cols>
  <sheetData>
    <row r="2" spans="2:5" customFormat="1" ht="21" x14ac:dyDescent="0.35">
      <c r="B2" s="261" t="s">
        <v>0</v>
      </c>
      <c r="C2" s="31"/>
    </row>
    <row r="3" spans="2:5" ht="21" x14ac:dyDescent="0.35">
      <c r="B3" s="203" t="s">
        <v>692</v>
      </c>
    </row>
    <row r="4" spans="2:5" x14ac:dyDescent="0.25">
      <c r="B4" s="32" t="s">
        <v>247</v>
      </c>
    </row>
    <row r="6" spans="2:5" x14ac:dyDescent="0.25">
      <c r="B6" s="1139" t="s">
        <v>97</v>
      </c>
      <c r="C6" s="1141" t="s">
        <v>248</v>
      </c>
      <c r="D6" s="1140" t="s">
        <v>249</v>
      </c>
      <c r="E6" s="1144" t="s">
        <v>47</v>
      </c>
    </row>
    <row r="7" spans="2:5" x14ac:dyDescent="0.25">
      <c r="B7" s="821" t="s">
        <v>101</v>
      </c>
      <c r="C7" s="1142" t="s">
        <v>250</v>
      </c>
      <c r="D7" s="1137" t="s">
        <v>251</v>
      </c>
      <c r="E7" s="1145">
        <v>77179680</v>
      </c>
    </row>
    <row r="8" spans="2:5" x14ac:dyDescent="0.25">
      <c r="B8" s="821" t="s">
        <v>101</v>
      </c>
      <c r="C8" s="1142" t="s">
        <v>252</v>
      </c>
      <c r="D8" s="1137" t="s">
        <v>232</v>
      </c>
      <c r="E8" s="1145">
        <v>6083261</v>
      </c>
    </row>
    <row r="9" spans="2:5" x14ac:dyDescent="0.25">
      <c r="B9" s="821" t="s">
        <v>101</v>
      </c>
      <c r="C9" s="1142" t="s">
        <v>253</v>
      </c>
      <c r="D9" s="1137" t="s">
        <v>251</v>
      </c>
      <c r="E9" s="1145">
        <v>16840836</v>
      </c>
    </row>
    <row r="10" spans="2:5" x14ac:dyDescent="0.25">
      <c r="B10" s="821" t="s">
        <v>101</v>
      </c>
      <c r="C10" s="1142" t="s">
        <v>254</v>
      </c>
      <c r="D10" s="1137" t="s">
        <v>232</v>
      </c>
      <c r="E10" s="1145">
        <v>2515741</v>
      </c>
    </row>
    <row r="11" spans="2:5" x14ac:dyDescent="0.25">
      <c r="B11" s="821" t="s">
        <v>102</v>
      </c>
      <c r="C11" s="1142" t="s">
        <v>250</v>
      </c>
      <c r="D11" s="1137" t="s">
        <v>251</v>
      </c>
      <c r="E11" s="1145">
        <v>73216531</v>
      </c>
    </row>
    <row r="12" spans="2:5" x14ac:dyDescent="0.25">
      <c r="B12" s="821" t="s">
        <v>102</v>
      </c>
      <c r="C12" s="1142" t="s">
        <v>252</v>
      </c>
      <c r="D12" s="1137" t="s">
        <v>232</v>
      </c>
      <c r="E12" s="1145">
        <v>5749602</v>
      </c>
    </row>
    <row r="13" spans="2:5" x14ac:dyDescent="0.25">
      <c r="B13" s="821" t="s">
        <v>102</v>
      </c>
      <c r="C13" s="1142" t="s">
        <v>253</v>
      </c>
      <c r="D13" s="1137" t="s">
        <v>251</v>
      </c>
      <c r="E13" s="1145">
        <v>18377436</v>
      </c>
    </row>
    <row r="14" spans="2:5" x14ac:dyDescent="0.25">
      <c r="B14" s="821" t="s">
        <v>102</v>
      </c>
      <c r="C14" s="1142" t="s">
        <v>254</v>
      </c>
      <c r="D14" s="1137" t="s">
        <v>232</v>
      </c>
      <c r="E14" s="1145">
        <v>2696993</v>
      </c>
    </row>
    <row r="15" spans="2:5" x14ac:dyDescent="0.25">
      <c r="B15" s="821" t="s">
        <v>103</v>
      </c>
      <c r="C15" s="1142" t="s">
        <v>250</v>
      </c>
      <c r="D15" s="1137" t="s">
        <v>251</v>
      </c>
      <c r="E15" s="1145">
        <v>65133685</v>
      </c>
    </row>
    <row r="16" spans="2:5" x14ac:dyDescent="0.25">
      <c r="B16" s="821" t="s">
        <v>103</v>
      </c>
      <c r="C16" s="1142" t="s">
        <v>252</v>
      </c>
      <c r="D16" s="1137" t="s">
        <v>232</v>
      </c>
      <c r="E16" s="1145">
        <v>5351839</v>
      </c>
    </row>
    <row r="17" spans="2:5" x14ac:dyDescent="0.25">
      <c r="B17" s="821" t="s">
        <v>103</v>
      </c>
      <c r="C17" s="1142" t="s">
        <v>253</v>
      </c>
      <c r="D17" s="1137" t="s">
        <v>251</v>
      </c>
      <c r="E17" s="1145">
        <v>15224414</v>
      </c>
    </row>
    <row r="18" spans="2:5" x14ac:dyDescent="0.25">
      <c r="B18" s="821" t="s">
        <v>103</v>
      </c>
      <c r="C18" s="1142" t="s">
        <v>254</v>
      </c>
      <c r="D18" s="1137" t="s">
        <v>232</v>
      </c>
      <c r="E18" s="1145">
        <v>2370725</v>
      </c>
    </row>
    <row r="19" spans="2:5" x14ac:dyDescent="0.25">
      <c r="B19" s="821" t="s">
        <v>104</v>
      </c>
      <c r="C19" s="1142" t="s">
        <v>250</v>
      </c>
      <c r="D19" s="1137" t="s">
        <v>251</v>
      </c>
      <c r="E19" s="1145">
        <v>59540845</v>
      </c>
    </row>
    <row r="20" spans="2:5" x14ac:dyDescent="0.25">
      <c r="B20" s="821" t="s">
        <v>104</v>
      </c>
      <c r="C20" s="1142" t="s">
        <v>252</v>
      </c>
      <c r="D20" s="1137" t="s">
        <v>232</v>
      </c>
      <c r="E20" s="1145">
        <v>4996050</v>
      </c>
    </row>
    <row r="21" spans="2:5" x14ac:dyDescent="0.25">
      <c r="B21" s="821" t="s">
        <v>104</v>
      </c>
      <c r="C21" s="1142" t="s">
        <v>253</v>
      </c>
      <c r="D21" s="1137" t="s">
        <v>251</v>
      </c>
      <c r="E21" s="1145">
        <v>12543830</v>
      </c>
    </row>
    <row r="22" spans="2:5" x14ac:dyDescent="0.25">
      <c r="B22" s="821" t="s">
        <v>104</v>
      </c>
      <c r="C22" s="1142" t="s">
        <v>254</v>
      </c>
      <c r="D22" s="1137" t="s">
        <v>232</v>
      </c>
      <c r="E22" s="1145">
        <v>2019054</v>
      </c>
    </row>
    <row r="23" spans="2:5" x14ac:dyDescent="0.25">
      <c r="B23" s="821" t="s">
        <v>105</v>
      </c>
      <c r="C23" s="1142" t="s">
        <v>250</v>
      </c>
      <c r="D23" s="1137" t="s">
        <v>251</v>
      </c>
      <c r="E23" s="1145">
        <v>57571500</v>
      </c>
    </row>
    <row r="24" spans="2:5" x14ac:dyDescent="0.25">
      <c r="B24" s="821" t="s">
        <v>105</v>
      </c>
      <c r="C24" s="1142" t="s">
        <v>252</v>
      </c>
      <c r="D24" s="1137" t="s">
        <v>232</v>
      </c>
      <c r="E24" s="1145">
        <v>4485877</v>
      </c>
    </row>
    <row r="25" spans="2:5" x14ac:dyDescent="0.25">
      <c r="B25" s="821" t="s">
        <v>105</v>
      </c>
      <c r="C25" s="1142" t="s">
        <v>253</v>
      </c>
      <c r="D25" s="1137" t="s">
        <v>251</v>
      </c>
      <c r="E25" s="1145">
        <v>9899374</v>
      </c>
    </row>
    <row r="26" spans="2:5" x14ac:dyDescent="0.25">
      <c r="B26" s="821" t="s">
        <v>105</v>
      </c>
      <c r="C26" s="1142" t="s">
        <v>254</v>
      </c>
      <c r="D26" s="1137" t="s">
        <v>232</v>
      </c>
      <c r="E26" s="1145">
        <v>1501091</v>
      </c>
    </row>
    <row r="27" spans="2:5" x14ac:dyDescent="0.25">
      <c r="B27" s="821" t="s">
        <v>106</v>
      </c>
      <c r="C27" s="1142" t="s">
        <v>250</v>
      </c>
      <c r="D27" s="1137" t="s">
        <v>251</v>
      </c>
      <c r="E27" s="1145">
        <v>63832059</v>
      </c>
    </row>
    <row r="28" spans="2:5" x14ac:dyDescent="0.25">
      <c r="B28" s="821" t="s">
        <v>106</v>
      </c>
      <c r="C28" s="1142" t="s">
        <v>252</v>
      </c>
      <c r="D28" s="1137" t="s">
        <v>232</v>
      </c>
      <c r="E28" s="1145">
        <v>4666210</v>
      </c>
    </row>
    <row r="29" spans="2:5" x14ac:dyDescent="0.25">
      <c r="B29" s="821" t="s">
        <v>106</v>
      </c>
      <c r="C29" s="1142" t="s">
        <v>253</v>
      </c>
      <c r="D29" s="1137" t="s">
        <v>251</v>
      </c>
      <c r="E29" s="1145">
        <v>7857503</v>
      </c>
    </row>
    <row r="30" spans="2:5" x14ac:dyDescent="0.25">
      <c r="B30" s="821" t="s">
        <v>106</v>
      </c>
      <c r="C30" s="1142" t="s">
        <v>254</v>
      </c>
      <c r="D30" s="1137" t="s">
        <v>232</v>
      </c>
      <c r="E30" s="1145">
        <v>1124748</v>
      </c>
    </row>
    <row r="31" spans="2:5" x14ac:dyDescent="0.25">
      <c r="B31" s="821" t="s">
        <v>107</v>
      </c>
      <c r="C31" s="1142" t="s">
        <v>250</v>
      </c>
      <c r="D31" s="1137" t="s">
        <v>251</v>
      </c>
      <c r="E31" s="1145">
        <v>111976024</v>
      </c>
    </row>
    <row r="32" spans="2:5" x14ac:dyDescent="0.25">
      <c r="B32" s="821" t="s">
        <v>107</v>
      </c>
      <c r="C32" s="1142" t="s">
        <v>252</v>
      </c>
      <c r="D32" s="1137" t="s">
        <v>232</v>
      </c>
      <c r="E32" s="1145">
        <v>6876319</v>
      </c>
    </row>
    <row r="33" spans="2:5" x14ac:dyDescent="0.25">
      <c r="B33" s="821" t="s">
        <v>107</v>
      </c>
      <c r="C33" s="1142" t="s">
        <v>253</v>
      </c>
      <c r="D33" s="1137" t="s">
        <v>251</v>
      </c>
      <c r="E33" s="1145">
        <v>11549979</v>
      </c>
    </row>
    <row r="34" spans="2:5" x14ac:dyDescent="0.25">
      <c r="B34" s="821" t="s">
        <v>107</v>
      </c>
      <c r="C34" s="1142" t="s">
        <v>254</v>
      </c>
      <c r="D34" s="1137" t="s">
        <v>232</v>
      </c>
      <c r="E34" s="1145">
        <v>1342085</v>
      </c>
    </row>
    <row r="35" spans="2:5" x14ac:dyDescent="0.25">
      <c r="B35" s="821" t="s">
        <v>108</v>
      </c>
      <c r="C35" s="1142" t="s">
        <v>250</v>
      </c>
      <c r="D35" s="1137" t="s">
        <v>251</v>
      </c>
      <c r="E35" s="1145">
        <v>133126197</v>
      </c>
    </row>
    <row r="36" spans="2:5" x14ac:dyDescent="0.25">
      <c r="B36" s="821" t="s">
        <v>108</v>
      </c>
      <c r="C36" s="1142" t="s">
        <v>252</v>
      </c>
      <c r="D36" s="1137" t="s">
        <v>232</v>
      </c>
      <c r="E36" s="1145">
        <v>7466890</v>
      </c>
    </row>
    <row r="37" spans="2:5" x14ac:dyDescent="0.25">
      <c r="B37" s="821" t="s">
        <v>108</v>
      </c>
      <c r="C37" s="1142" t="s">
        <v>253</v>
      </c>
      <c r="D37" s="1137" t="s">
        <v>251</v>
      </c>
      <c r="E37" s="1145">
        <v>14090707</v>
      </c>
    </row>
    <row r="38" spans="2:5" x14ac:dyDescent="0.25">
      <c r="B38" s="821" t="s">
        <v>108</v>
      </c>
      <c r="C38" s="1142" t="s">
        <v>254</v>
      </c>
      <c r="D38" s="1137" t="s">
        <v>232</v>
      </c>
      <c r="E38" s="1145">
        <v>1448658</v>
      </c>
    </row>
    <row r="39" spans="2:5" x14ac:dyDescent="0.25">
      <c r="B39" s="821" t="s">
        <v>109</v>
      </c>
      <c r="C39" s="1142" t="s">
        <v>250</v>
      </c>
      <c r="D39" s="1137" t="s">
        <v>251</v>
      </c>
      <c r="E39" s="1145">
        <v>89234173</v>
      </c>
    </row>
    <row r="40" spans="2:5" x14ac:dyDescent="0.25">
      <c r="B40" s="821" t="s">
        <v>109</v>
      </c>
      <c r="C40" s="1142" t="s">
        <v>252</v>
      </c>
      <c r="D40" s="1137" t="s">
        <v>232</v>
      </c>
      <c r="E40" s="1145">
        <v>5915992</v>
      </c>
    </row>
    <row r="41" spans="2:5" x14ac:dyDescent="0.25">
      <c r="B41" s="821" t="s">
        <v>109</v>
      </c>
      <c r="C41" s="1142" t="s">
        <v>253</v>
      </c>
      <c r="D41" s="1137" t="s">
        <v>251</v>
      </c>
      <c r="E41" s="1145">
        <v>10116314</v>
      </c>
    </row>
    <row r="42" spans="2:5" x14ac:dyDescent="0.25">
      <c r="B42" s="821" t="s">
        <v>109</v>
      </c>
      <c r="C42" s="1142" t="s">
        <v>254</v>
      </c>
      <c r="D42" s="1137" t="s">
        <v>232</v>
      </c>
      <c r="E42" s="1145">
        <v>1189217</v>
      </c>
    </row>
    <row r="43" spans="2:5" x14ac:dyDescent="0.25">
      <c r="B43" s="821" t="s">
        <v>110</v>
      </c>
      <c r="C43" s="1142" t="s">
        <v>250</v>
      </c>
      <c r="D43" s="1137" t="s">
        <v>251</v>
      </c>
      <c r="E43" s="1145">
        <v>64666906</v>
      </c>
    </row>
    <row r="44" spans="2:5" x14ac:dyDescent="0.25">
      <c r="B44" s="821" t="s">
        <v>110</v>
      </c>
      <c r="C44" s="1142" t="s">
        <v>252</v>
      </c>
      <c r="D44" s="1137" t="s">
        <v>232</v>
      </c>
      <c r="E44" s="1145">
        <v>4558032</v>
      </c>
    </row>
    <row r="45" spans="2:5" x14ac:dyDescent="0.25">
      <c r="B45" s="821" t="s">
        <v>110</v>
      </c>
      <c r="C45" s="1142" t="s">
        <v>253</v>
      </c>
      <c r="D45" s="1137" t="s">
        <v>251</v>
      </c>
      <c r="E45" s="1145">
        <v>8348183</v>
      </c>
    </row>
    <row r="46" spans="2:5" x14ac:dyDescent="0.25">
      <c r="B46" s="821" t="s">
        <v>110</v>
      </c>
      <c r="C46" s="1142" t="s">
        <v>254</v>
      </c>
      <c r="D46" s="1137" t="s">
        <v>232</v>
      </c>
      <c r="E46" s="1145">
        <v>1083406</v>
      </c>
    </row>
    <row r="47" spans="2:5" x14ac:dyDescent="0.25">
      <c r="B47" s="821" t="s">
        <v>111</v>
      </c>
      <c r="C47" s="1142" t="s">
        <v>250</v>
      </c>
      <c r="D47" s="1137" t="s">
        <v>251</v>
      </c>
      <c r="E47" s="1145">
        <v>51525537</v>
      </c>
    </row>
    <row r="48" spans="2:5" x14ac:dyDescent="0.25">
      <c r="B48" s="821" t="s">
        <v>111</v>
      </c>
      <c r="C48" s="1142" t="s">
        <v>252</v>
      </c>
      <c r="D48" s="1137" t="s">
        <v>232</v>
      </c>
      <c r="E48" s="1145">
        <v>4083909</v>
      </c>
    </row>
    <row r="49" spans="2:5" x14ac:dyDescent="0.25">
      <c r="B49" s="821" t="s">
        <v>111</v>
      </c>
      <c r="C49" s="1142" t="s">
        <v>253</v>
      </c>
      <c r="D49" s="1137" t="s">
        <v>251</v>
      </c>
      <c r="E49" s="1145">
        <v>7637820</v>
      </c>
    </row>
    <row r="50" spans="2:5" x14ac:dyDescent="0.25">
      <c r="B50" s="821" t="s">
        <v>111</v>
      </c>
      <c r="C50" s="1142" t="s">
        <v>254</v>
      </c>
      <c r="D50" s="1137" t="s">
        <v>232</v>
      </c>
      <c r="E50" s="1145">
        <v>1183198</v>
      </c>
    </row>
    <row r="51" spans="2:5" x14ac:dyDescent="0.25">
      <c r="B51" s="821" t="s">
        <v>112</v>
      </c>
      <c r="C51" s="1142" t="s">
        <v>250</v>
      </c>
      <c r="D51" s="1137" t="s">
        <v>251</v>
      </c>
      <c r="E51" s="1145">
        <v>76469965</v>
      </c>
    </row>
    <row r="52" spans="2:5" x14ac:dyDescent="0.25">
      <c r="B52" s="821" t="s">
        <v>112</v>
      </c>
      <c r="C52" s="1142" t="s">
        <v>252</v>
      </c>
      <c r="D52" s="1137" t="s">
        <v>232</v>
      </c>
      <c r="E52" s="1145">
        <v>5876711</v>
      </c>
    </row>
    <row r="53" spans="2:5" x14ac:dyDescent="0.25">
      <c r="B53" s="821" t="s">
        <v>112</v>
      </c>
      <c r="C53" s="1142" t="s">
        <v>253</v>
      </c>
      <c r="D53" s="1137" t="s">
        <v>251</v>
      </c>
      <c r="E53" s="1145">
        <v>15338658</v>
      </c>
    </row>
    <row r="54" spans="2:5" x14ac:dyDescent="0.25">
      <c r="B54" s="822" t="s">
        <v>112</v>
      </c>
      <c r="C54" s="1143" t="s">
        <v>254</v>
      </c>
      <c r="D54" s="1138" t="s">
        <v>232</v>
      </c>
      <c r="E54" s="1146">
        <v>2245412</v>
      </c>
    </row>
  </sheetData>
  <pageMargins left="0.7" right="0.7" top="0.75" bottom="0.75" header="0.3" footer="0.3"/>
  <pageSetup scale="7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D4434-B919-4EA3-BD4E-C3CAD339425A}">
  <sheetPr codeName="Sheet24" filterMode="1">
    <tabColor theme="0" tint="-0.499984740745262"/>
  </sheetPr>
  <dimension ref="B2:Z336"/>
  <sheetViews>
    <sheetView showGridLines="0" zoomScale="85" zoomScaleNormal="85" workbookViewId="0"/>
  </sheetViews>
  <sheetFormatPr defaultRowHeight="15" x14ac:dyDescent="0.25"/>
  <cols>
    <col min="1" max="1" width="2.7109375" customWidth="1"/>
    <col min="4" max="4" width="20" customWidth="1"/>
    <col min="5" max="5" width="10.7109375" bestFit="1" customWidth="1"/>
  </cols>
  <sheetData>
    <row r="2" spans="2:26" ht="21" x14ac:dyDescent="0.35">
      <c r="B2" s="261" t="s">
        <v>0</v>
      </c>
      <c r="D2" s="4"/>
    </row>
    <row r="3" spans="2:26" ht="21" x14ac:dyDescent="0.35">
      <c r="B3" s="203" t="s">
        <v>255</v>
      </c>
    </row>
    <row r="4" spans="2:26" x14ac:dyDescent="0.25">
      <c r="B4" s="6" t="s">
        <v>256</v>
      </c>
      <c r="C4" s="591" t="s">
        <v>257</v>
      </c>
    </row>
    <row r="6" spans="2:26" x14ac:dyDescent="0.25">
      <c r="B6" t="s">
        <v>258</v>
      </c>
      <c r="C6" t="s">
        <v>259</v>
      </c>
    </row>
    <row r="7" spans="2:26" x14ac:dyDescent="0.25">
      <c r="B7" t="s">
        <v>258</v>
      </c>
      <c r="C7" t="s">
        <v>695</v>
      </c>
    </row>
    <row r="8" spans="2:26" x14ac:dyDescent="0.25">
      <c r="B8" t="s">
        <v>258</v>
      </c>
      <c r="C8" t="s">
        <v>696</v>
      </c>
    </row>
    <row r="9" spans="2:26" x14ac:dyDescent="0.25">
      <c r="B9" t="s">
        <v>258</v>
      </c>
      <c r="C9" t="s">
        <v>697</v>
      </c>
    </row>
    <row r="10" spans="2:26" x14ac:dyDescent="0.25">
      <c r="B10" t="s">
        <v>260</v>
      </c>
      <c r="C10" s="2" t="s">
        <v>261</v>
      </c>
      <c r="D10" s="2" t="s">
        <v>262</v>
      </c>
      <c r="E10" s="2" t="s">
        <v>263</v>
      </c>
      <c r="F10" s="2" t="s">
        <v>264</v>
      </c>
      <c r="G10" s="2" t="s">
        <v>265</v>
      </c>
      <c r="H10" s="2" t="s">
        <v>266</v>
      </c>
      <c r="I10" s="2" t="s">
        <v>267</v>
      </c>
      <c r="J10" s="2" t="s">
        <v>268</v>
      </c>
      <c r="K10" s="2" t="s">
        <v>269</v>
      </c>
      <c r="L10" s="2" t="s">
        <v>270</v>
      </c>
      <c r="M10" s="2" t="s">
        <v>271</v>
      </c>
      <c r="N10" s="2" t="s">
        <v>272</v>
      </c>
      <c r="O10" s="2" t="s">
        <v>273</v>
      </c>
      <c r="P10" s="2" t="s">
        <v>274</v>
      </c>
      <c r="Q10" s="2" t="s">
        <v>275</v>
      </c>
      <c r="R10" s="2" t="s">
        <v>276</v>
      </c>
      <c r="S10" s="2" t="s">
        <v>277</v>
      </c>
      <c r="T10" s="2" t="s">
        <v>278</v>
      </c>
      <c r="U10" s="2" t="s">
        <v>279</v>
      </c>
      <c r="V10" s="2" t="s">
        <v>693</v>
      </c>
      <c r="W10" s="2" t="s">
        <v>694</v>
      </c>
      <c r="X10" s="2" t="s">
        <v>134</v>
      </c>
      <c r="Y10" s="2" t="s">
        <v>280</v>
      </c>
    </row>
    <row r="11" spans="2:26" x14ac:dyDescent="0.25">
      <c r="B11" t="s">
        <v>260</v>
      </c>
      <c r="C11" t="s">
        <v>281</v>
      </c>
      <c r="D11" t="s">
        <v>282</v>
      </c>
      <c r="E11" t="s">
        <v>283</v>
      </c>
      <c r="F11" t="s">
        <v>282</v>
      </c>
      <c r="G11" t="s">
        <v>281</v>
      </c>
      <c r="H11" t="s">
        <v>281</v>
      </c>
      <c r="I11" t="s">
        <v>281</v>
      </c>
      <c r="J11" t="s">
        <v>281</v>
      </c>
      <c r="K11" t="s">
        <v>281</v>
      </c>
      <c r="L11" t="s">
        <v>281</v>
      </c>
      <c r="M11" t="s">
        <v>281</v>
      </c>
      <c r="N11" t="s">
        <v>281</v>
      </c>
      <c r="O11" t="s">
        <v>281</v>
      </c>
      <c r="P11" t="s">
        <v>281</v>
      </c>
      <c r="Q11" t="s">
        <v>281</v>
      </c>
      <c r="R11" t="s">
        <v>281</v>
      </c>
      <c r="S11" t="s">
        <v>281</v>
      </c>
      <c r="T11" t="s">
        <v>281</v>
      </c>
      <c r="U11" t="s">
        <v>281</v>
      </c>
      <c r="V11" t="s">
        <v>281</v>
      </c>
      <c r="W11" t="s">
        <v>281</v>
      </c>
      <c r="X11" t="s">
        <v>281</v>
      </c>
      <c r="Y11" t="s">
        <v>281</v>
      </c>
      <c r="Z11" t="s">
        <v>97</v>
      </c>
    </row>
    <row r="12" spans="2:26" hidden="1" x14ac:dyDescent="0.25">
      <c r="B12" t="s">
        <v>284</v>
      </c>
      <c r="C12">
        <v>4000</v>
      </c>
      <c r="D12" t="s">
        <v>285</v>
      </c>
      <c r="E12" s="130">
        <v>45291</v>
      </c>
      <c r="F12" t="s">
        <v>286</v>
      </c>
      <c r="X12">
        <v>75.62</v>
      </c>
      <c r="Y12">
        <v>10847945.338</v>
      </c>
      <c r="Z12" s="254">
        <f>MONTH(E12)</f>
        <v>12</v>
      </c>
    </row>
    <row r="13" spans="2:26" hidden="1" x14ac:dyDescent="0.25">
      <c r="B13" t="s">
        <v>284</v>
      </c>
      <c r="C13">
        <v>4000</v>
      </c>
      <c r="D13" t="s">
        <v>285</v>
      </c>
      <c r="E13" s="130">
        <v>45291</v>
      </c>
      <c r="F13" t="s">
        <v>287</v>
      </c>
      <c r="X13">
        <v>68.62</v>
      </c>
      <c r="Y13">
        <v>5349027.2029999997</v>
      </c>
      <c r="Z13" s="254">
        <f t="shared" ref="Z13:Z76" si="0">MONTH(E13)</f>
        <v>12</v>
      </c>
    </row>
    <row r="14" spans="2:26" hidden="1" x14ac:dyDescent="0.25">
      <c r="B14" t="s">
        <v>284</v>
      </c>
      <c r="C14">
        <v>4000</v>
      </c>
      <c r="D14" t="s">
        <v>285</v>
      </c>
      <c r="E14" s="130">
        <v>45291</v>
      </c>
      <c r="F14" t="s">
        <v>288</v>
      </c>
      <c r="X14">
        <v>83.42</v>
      </c>
      <c r="Y14">
        <v>5498918.1349999998</v>
      </c>
      <c r="Z14" s="254">
        <f t="shared" si="0"/>
        <v>12</v>
      </c>
    </row>
    <row r="15" spans="2:26" hidden="1" x14ac:dyDescent="0.25">
      <c r="B15" t="s">
        <v>284</v>
      </c>
      <c r="C15">
        <v>4000</v>
      </c>
      <c r="D15" t="s">
        <v>285</v>
      </c>
      <c r="E15" s="130">
        <v>45322</v>
      </c>
      <c r="F15" t="s">
        <v>286</v>
      </c>
      <c r="X15">
        <v>45.07</v>
      </c>
      <c r="Y15">
        <v>9497168.4839999992</v>
      </c>
      <c r="Z15" s="254">
        <f t="shared" si="0"/>
        <v>1</v>
      </c>
    </row>
    <row r="16" spans="2:26" hidden="1" x14ac:dyDescent="0.25">
      <c r="B16" t="s">
        <v>284</v>
      </c>
      <c r="C16">
        <v>4000</v>
      </c>
      <c r="D16" t="s">
        <v>285</v>
      </c>
      <c r="E16" s="130">
        <v>45322</v>
      </c>
      <c r="F16" t="s">
        <v>287</v>
      </c>
      <c r="X16">
        <v>43.08</v>
      </c>
      <c r="Y16">
        <v>4633456.6720000003</v>
      </c>
      <c r="Z16" s="254">
        <f t="shared" si="0"/>
        <v>1</v>
      </c>
    </row>
    <row r="17" spans="2:26" hidden="1" x14ac:dyDescent="0.25">
      <c r="B17" t="s">
        <v>284</v>
      </c>
      <c r="C17">
        <v>4000</v>
      </c>
      <c r="D17" t="s">
        <v>285</v>
      </c>
      <c r="E17" s="130">
        <v>45322</v>
      </c>
      <c r="F17" t="s">
        <v>288</v>
      </c>
      <c r="X17">
        <v>47.21</v>
      </c>
      <c r="Y17">
        <v>4863711.8119999999</v>
      </c>
      <c r="Z17" s="254">
        <f t="shared" si="0"/>
        <v>1</v>
      </c>
    </row>
    <row r="18" spans="2:26" hidden="1" x14ac:dyDescent="0.25">
      <c r="B18" t="s">
        <v>284</v>
      </c>
      <c r="C18">
        <v>4000</v>
      </c>
      <c r="D18" t="s">
        <v>285</v>
      </c>
      <c r="E18" s="130">
        <v>45351</v>
      </c>
      <c r="F18" t="s">
        <v>286</v>
      </c>
      <c r="X18">
        <v>34.42</v>
      </c>
      <c r="Y18">
        <v>9264002.5879999995</v>
      </c>
      <c r="Z18" s="254">
        <f t="shared" si="0"/>
        <v>2</v>
      </c>
    </row>
    <row r="19" spans="2:26" hidden="1" x14ac:dyDescent="0.25">
      <c r="B19" t="s">
        <v>284</v>
      </c>
      <c r="C19">
        <v>4000</v>
      </c>
      <c r="D19" t="s">
        <v>285</v>
      </c>
      <c r="E19" s="130">
        <v>45351</v>
      </c>
      <c r="F19" t="s">
        <v>287</v>
      </c>
      <c r="X19">
        <v>32.869999999999997</v>
      </c>
      <c r="Y19">
        <v>4784277.4709999999</v>
      </c>
      <c r="Z19" s="254">
        <f t="shared" si="0"/>
        <v>2</v>
      </c>
    </row>
    <row r="20" spans="2:26" hidden="1" x14ac:dyDescent="0.25">
      <c r="B20" t="s">
        <v>284</v>
      </c>
      <c r="C20">
        <v>4000</v>
      </c>
      <c r="D20" t="s">
        <v>285</v>
      </c>
      <c r="E20" s="130">
        <v>45351</v>
      </c>
      <c r="F20" t="s">
        <v>288</v>
      </c>
      <c r="X20">
        <v>36.299999999999997</v>
      </c>
      <c r="Y20">
        <v>4479725.1169999996</v>
      </c>
      <c r="Z20" s="254">
        <f t="shared" si="0"/>
        <v>2</v>
      </c>
    </row>
    <row r="21" spans="2:26" hidden="1" x14ac:dyDescent="0.25">
      <c r="B21" t="s">
        <v>284</v>
      </c>
      <c r="C21">
        <v>4000</v>
      </c>
      <c r="D21" t="s">
        <v>285</v>
      </c>
      <c r="E21" s="130">
        <v>45382</v>
      </c>
      <c r="F21" t="s">
        <v>286</v>
      </c>
      <c r="X21">
        <v>37.11</v>
      </c>
      <c r="Y21">
        <v>8270963.1179999998</v>
      </c>
      <c r="Z21" s="254">
        <f t="shared" si="0"/>
        <v>3</v>
      </c>
    </row>
    <row r="22" spans="2:26" hidden="1" x14ac:dyDescent="0.25">
      <c r="B22" t="s">
        <v>284</v>
      </c>
      <c r="C22">
        <v>4000</v>
      </c>
      <c r="D22" t="s">
        <v>285</v>
      </c>
      <c r="E22" s="130">
        <v>45382</v>
      </c>
      <c r="F22" t="s">
        <v>287</v>
      </c>
      <c r="X22">
        <v>35.659999999999997</v>
      </c>
      <c r="Y22">
        <v>3960458.4270000001</v>
      </c>
      <c r="Z22" s="254">
        <f t="shared" si="0"/>
        <v>3</v>
      </c>
    </row>
    <row r="23" spans="2:26" hidden="1" x14ac:dyDescent="0.25">
      <c r="B23" t="s">
        <v>284</v>
      </c>
      <c r="C23">
        <v>4000</v>
      </c>
      <c r="D23" t="s">
        <v>285</v>
      </c>
      <c r="E23" s="130">
        <v>45382</v>
      </c>
      <c r="F23" t="s">
        <v>288</v>
      </c>
      <c r="X23">
        <v>38.619999999999997</v>
      </c>
      <c r="Y23">
        <v>4310504.6909999996</v>
      </c>
      <c r="Z23" s="254">
        <f t="shared" si="0"/>
        <v>3</v>
      </c>
    </row>
    <row r="24" spans="2:26" hidden="1" x14ac:dyDescent="0.25">
      <c r="B24" t="s">
        <v>284</v>
      </c>
      <c r="C24">
        <v>4000</v>
      </c>
      <c r="D24" t="s">
        <v>285</v>
      </c>
      <c r="E24" s="130">
        <v>45412</v>
      </c>
      <c r="F24" t="s">
        <v>286</v>
      </c>
      <c r="X24">
        <v>38.29</v>
      </c>
      <c r="Y24">
        <v>8654607.9649999999</v>
      </c>
      <c r="Z24" s="254">
        <f t="shared" si="0"/>
        <v>4</v>
      </c>
    </row>
    <row r="25" spans="2:26" hidden="1" x14ac:dyDescent="0.25">
      <c r="B25" t="s">
        <v>284</v>
      </c>
      <c r="C25">
        <v>4000</v>
      </c>
      <c r="D25" t="s">
        <v>285</v>
      </c>
      <c r="E25" s="130">
        <v>45412</v>
      </c>
      <c r="F25" t="s">
        <v>287</v>
      </c>
      <c r="X25">
        <v>36.659999999999997</v>
      </c>
      <c r="Y25">
        <v>4226942.6770000001</v>
      </c>
      <c r="Z25" s="254">
        <f t="shared" si="0"/>
        <v>4</v>
      </c>
    </row>
    <row r="26" spans="2:26" hidden="1" x14ac:dyDescent="0.25">
      <c r="B26" t="s">
        <v>284</v>
      </c>
      <c r="C26">
        <v>4000</v>
      </c>
      <c r="D26" t="s">
        <v>285</v>
      </c>
      <c r="E26" s="130">
        <v>45412</v>
      </c>
      <c r="F26" t="s">
        <v>288</v>
      </c>
      <c r="X26">
        <v>40.1</v>
      </c>
      <c r="Y26">
        <v>4427665.2879999997</v>
      </c>
      <c r="Z26" s="254">
        <f t="shared" si="0"/>
        <v>4</v>
      </c>
    </row>
    <row r="27" spans="2:26" hidden="1" x14ac:dyDescent="0.25">
      <c r="B27" t="s">
        <v>284</v>
      </c>
      <c r="C27">
        <v>4000</v>
      </c>
      <c r="D27" t="s">
        <v>285</v>
      </c>
      <c r="E27" s="130">
        <v>45443</v>
      </c>
      <c r="F27" t="s">
        <v>286</v>
      </c>
      <c r="X27">
        <v>45.07</v>
      </c>
      <c r="Y27">
        <v>10103609.148</v>
      </c>
      <c r="Z27" s="254">
        <f t="shared" si="0"/>
        <v>5</v>
      </c>
    </row>
    <row r="28" spans="2:26" hidden="1" x14ac:dyDescent="0.25">
      <c r="B28" t="s">
        <v>284</v>
      </c>
      <c r="C28">
        <v>4000</v>
      </c>
      <c r="D28" t="s">
        <v>285</v>
      </c>
      <c r="E28" s="130">
        <v>45443</v>
      </c>
      <c r="F28" t="s">
        <v>287</v>
      </c>
      <c r="X28">
        <v>38.65</v>
      </c>
      <c r="Y28">
        <v>5003399.38</v>
      </c>
      <c r="Z28" s="254">
        <f t="shared" si="0"/>
        <v>5</v>
      </c>
    </row>
    <row r="29" spans="2:26" hidden="1" x14ac:dyDescent="0.25">
      <c r="B29" t="s">
        <v>284</v>
      </c>
      <c r="C29">
        <v>4000</v>
      </c>
      <c r="D29" t="s">
        <v>285</v>
      </c>
      <c r="E29" s="130">
        <v>45443</v>
      </c>
      <c r="F29" t="s">
        <v>288</v>
      </c>
      <c r="X29">
        <v>53.1</v>
      </c>
      <c r="Y29">
        <v>5100209.7680000002</v>
      </c>
      <c r="Z29" s="254">
        <f t="shared" si="0"/>
        <v>5</v>
      </c>
    </row>
    <row r="30" spans="2:26" hidden="1" x14ac:dyDescent="0.25">
      <c r="B30" t="s">
        <v>284</v>
      </c>
      <c r="C30">
        <v>4000</v>
      </c>
      <c r="D30" t="s">
        <v>285</v>
      </c>
      <c r="E30" s="130">
        <v>45473</v>
      </c>
      <c r="F30" t="s">
        <v>286</v>
      </c>
      <c r="X30">
        <v>56.27</v>
      </c>
      <c r="Y30">
        <v>12351494.864</v>
      </c>
      <c r="Z30" s="254">
        <f t="shared" si="0"/>
        <v>6</v>
      </c>
    </row>
    <row r="31" spans="2:26" hidden="1" x14ac:dyDescent="0.25">
      <c r="B31" t="s">
        <v>284</v>
      </c>
      <c r="C31">
        <v>4000</v>
      </c>
      <c r="D31" t="s">
        <v>285</v>
      </c>
      <c r="E31" s="130">
        <v>45473</v>
      </c>
      <c r="F31" t="s">
        <v>287</v>
      </c>
      <c r="X31">
        <v>47.84</v>
      </c>
      <c r="Y31">
        <v>5918044.6950000003</v>
      </c>
      <c r="Z31" s="254">
        <f t="shared" si="0"/>
        <v>6</v>
      </c>
    </row>
    <row r="32" spans="2:26" hidden="1" x14ac:dyDescent="0.25">
      <c r="B32" t="s">
        <v>284</v>
      </c>
      <c r="C32">
        <v>4000</v>
      </c>
      <c r="D32" t="s">
        <v>285</v>
      </c>
      <c r="E32" s="130">
        <v>45473</v>
      </c>
      <c r="F32" t="s">
        <v>288</v>
      </c>
      <c r="X32">
        <v>65.650000000000006</v>
      </c>
      <c r="Y32">
        <v>6433450.1689999998</v>
      </c>
      <c r="Z32" s="254">
        <f t="shared" si="0"/>
        <v>6</v>
      </c>
    </row>
    <row r="33" spans="2:26" hidden="1" x14ac:dyDescent="0.25">
      <c r="B33" t="s">
        <v>284</v>
      </c>
      <c r="C33">
        <v>4000</v>
      </c>
      <c r="D33" t="s">
        <v>285</v>
      </c>
      <c r="E33" s="130">
        <v>45504</v>
      </c>
      <c r="F33" t="s">
        <v>286</v>
      </c>
      <c r="X33">
        <v>52.42</v>
      </c>
      <c r="Y33">
        <v>10895144.01</v>
      </c>
      <c r="Z33" s="254">
        <f t="shared" si="0"/>
        <v>7</v>
      </c>
    </row>
    <row r="34" spans="2:26" hidden="1" x14ac:dyDescent="0.25">
      <c r="B34" t="s">
        <v>284</v>
      </c>
      <c r="C34">
        <v>4000</v>
      </c>
      <c r="D34" t="s">
        <v>285</v>
      </c>
      <c r="E34" s="130">
        <v>45504</v>
      </c>
      <c r="F34" t="s">
        <v>287</v>
      </c>
      <c r="X34">
        <v>41.73</v>
      </c>
      <c r="Y34">
        <v>5358211.5439999998</v>
      </c>
      <c r="Z34" s="254">
        <f t="shared" si="0"/>
        <v>7</v>
      </c>
    </row>
    <row r="35" spans="2:26" hidden="1" x14ac:dyDescent="0.25">
      <c r="B35" t="s">
        <v>284</v>
      </c>
      <c r="C35">
        <v>4000</v>
      </c>
      <c r="D35" t="s">
        <v>285</v>
      </c>
      <c r="E35" s="130">
        <v>45504</v>
      </c>
      <c r="F35" t="s">
        <v>288</v>
      </c>
      <c r="X35">
        <v>64.33</v>
      </c>
      <c r="Y35">
        <v>5536932.466</v>
      </c>
      <c r="Z35" s="254">
        <f t="shared" si="0"/>
        <v>7</v>
      </c>
    </row>
    <row r="36" spans="2:26" hidden="1" x14ac:dyDescent="0.25">
      <c r="B36" t="s">
        <v>284</v>
      </c>
      <c r="C36">
        <v>4000</v>
      </c>
      <c r="D36" t="s">
        <v>285</v>
      </c>
      <c r="E36" s="130">
        <v>45535</v>
      </c>
      <c r="F36" t="s">
        <v>286</v>
      </c>
      <c r="X36">
        <v>47.78</v>
      </c>
      <c r="Y36">
        <v>8820179.852</v>
      </c>
      <c r="Z36" s="254">
        <f t="shared" si="0"/>
        <v>8</v>
      </c>
    </row>
    <row r="37" spans="2:26" hidden="1" x14ac:dyDescent="0.25">
      <c r="B37" t="s">
        <v>284</v>
      </c>
      <c r="C37">
        <v>4000</v>
      </c>
      <c r="D37" t="s">
        <v>285</v>
      </c>
      <c r="E37" s="130">
        <v>45535</v>
      </c>
      <c r="F37" t="s">
        <v>287</v>
      </c>
      <c r="X37">
        <v>44.64</v>
      </c>
      <c r="Y37">
        <v>4595086.6619999995</v>
      </c>
      <c r="Z37" s="254">
        <f t="shared" si="0"/>
        <v>8</v>
      </c>
    </row>
    <row r="38" spans="2:26" hidden="1" x14ac:dyDescent="0.25">
      <c r="B38" t="s">
        <v>284</v>
      </c>
      <c r="C38">
        <v>4000</v>
      </c>
      <c r="D38" t="s">
        <v>285</v>
      </c>
      <c r="E38" s="130">
        <v>45535</v>
      </c>
      <c r="F38" t="s">
        <v>288</v>
      </c>
      <c r="X38">
        <v>51.71</v>
      </c>
      <c r="Y38">
        <v>4225093.1900000004</v>
      </c>
      <c r="Z38" s="254">
        <f t="shared" si="0"/>
        <v>8</v>
      </c>
    </row>
    <row r="39" spans="2:26" hidden="1" x14ac:dyDescent="0.25">
      <c r="B39" t="s">
        <v>284</v>
      </c>
      <c r="C39">
        <v>4000</v>
      </c>
      <c r="D39" t="s">
        <v>285</v>
      </c>
      <c r="E39" s="130">
        <v>45565</v>
      </c>
      <c r="F39" t="s">
        <v>286</v>
      </c>
      <c r="X39">
        <v>50.93</v>
      </c>
      <c r="Y39">
        <v>8609779.0350000001</v>
      </c>
      <c r="Z39" s="254">
        <f t="shared" si="0"/>
        <v>9</v>
      </c>
    </row>
    <row r="40" spans="2:26" hidden="1" x14ac:dyDescent="0.25">
      <c r="B40" t="s">
        <v>284</v>
      </c>
      <c r="C40">
        <v>4000</v>
      </c>
      <c r="D40" t="s">
        <v>285</v>
      </c>
      <c r="E40" s="130">
        <v>45565</v>
      </c>
      <c r="F40" t="s">
        <v>287</v>
      </c>
      <c r="X40">
        <v>45.96</v>
      </c>
      <c r="Y40">
        <v>4004372.1630000002</v>
      </c>
      <c r="Z40" s="254">
        <f t="shared" si="0"/>
        <v>9</v>
      </c>
    </row>
    <row r="41" spans="2:26" hidden="1" x14ac:dyDescent="0.25">
      <c r="B41" t="s">
        <v>284</v>
      </c>
      <c r="C41">
        <v>4000</v>
      </c>
      <c r="D41" t="s">
        <v>285</v>
      </c>
      <c r="E41" s="130">
        <v>45565</v>
      </c>
      <c r="F41" t="s">
        <v>288</v>
      </c>
      <c r="X41">
        <v>56.01</v>
      </c>
      <c r="Y41">
        <v>4605406.8720000004</v>
      </c>
      <c r="Z41" s="254">
        <f t="shared" si="0"/>
        <v>9</v>
      </c>
    </row>
    <row r="42" spans="2:26" hidden="1" x14ac:dyDescent="0.25">
      <c r="B42" t="s">
        <v>284</v>
      </c>
      <c r="C42">
        <v>4000</v>
      </c>
      <c r="D42" t="s">
        <v>285</v>
      </c>
      <c r="E42" s="130">
        <v>45596</v>
      </c>
      <c r="F42" t="s">
        <v>286</v>
      </c>
      <c r="X42">
        <v>55.62</v>
      </c>
      <c r="Y42">
        <v>8876293.5219999999</v>
      </c>
      <c r="Z42" s="254">
        <f t="shared" si="0"/>
        <v>10</v>
      </c>
    </row>
    <row r="43" spans="2:26" hidden="1" x14ac:dyDescent="0.25">
      <c r="B43" t="s">
        <v>284</v>
      </c>
      <c r="C43">
        <v>4000</v>
      </c>
      <c r="D43" t="s">
        <v>285</v>
      </c>
      <c r="E43" s="130">
        <v>45596</v>
      </c>
      <c r="F43" t="s">
        <v>287</v>
      </c>
      <c r="X43">
        <v>50.98</v>
      </c>
      <c r="Y43">
        <v>4650810.7130000005</v>
      </c>
      <c r="Z43" s="254">
        <f t="shared" si="0"/>
        <v>10</v>
      </c>
    </row>
    <row r="44" spans="2:26" hidden="1" x14ac:dyDescent="0.25">
      <c r="B44" t="s">
        <v>284</v>
      </c>
      <c r="C44">
        <v>4000</v>
      </c>
      <c r="D44" t="s">
        <v>285</v>
      </c>
      <c r="E44" s="130">
        <v>45596</v>
      </c>
      <c r="F44" t="s">
        <v>288</v>
      </c>
      <c r="X44">
        <v>61.45</v>
      </c>
      <c r="Y44">
        <v>4225482.8090000004</v>
      </c>
      <c r="Z44" s="254">
        <f t="shared" si="0"/>
        <v>10</v>
      </c>
    </row>
    <row r="45" spans="2:26" hidden="1" x14ac:dyDescent="0.25">
      <c r="B45" t="s">
        <v>284</v>
      </c>
      <c r="C45">
        <v>4000</v>
      </c>
      <c r="D45" t="s">
        <v>285</v>
      </c>
      <c r="E45" s="130">
        <v>45626</v>
      </c>
      <c r="F45" t="s">
        <v>286</v>
      </c>
      <c r="X45">
        <v>99.17</v>
      </c>
      <c r="Y45">
        <v>10651364.982999999</v>
      </c>
      <c r="Z45" s="254">
        <f t="shared" si="0"/>
        <v>11</v>
      </c>
    </row>
    <row r="46" spans="2:26" hidden="1" x14ac:dyDescent="0.25">
      <c r="B46" t="s">
        <v>284</v>
      </c>
      <c r="C46">
        <v>4000</v>
      </c>
      <c r="D46" t="s">
        <v>285</v>
      </c>
      <c r="E46" s="130">
        <v>45626</v>
      </c>
      <c r="F46" t="s">
        <v>287</v>
      </c>
      <c r="X46">
        <v>94.15</v>
      </c>
      <c r="Y46">
        <v>5548224.1390000004</v>
      </c>
      <c r="Z46" s="254">
        <f t="shared" si="0"/>
        <v>11</v>
      </c>
    </row>
    <row r="47" spans="2:26" hidden="1" x14ac:dyDescent="0.25">
      <c r="B47" t="s">
        <v>284</v>
      </c>
      <c r="C47">
        <v>4000</v>
      </c>
      <c r="D47" t="s">
        <v>285</v>
      </c>
      <c r="E47" s="130">
        <v>45626</v>
      </c>
      <c r="F47" t="s">
        <v>288</v>
      </c>
      <c r="X47">
        <v>105.26</v>
      </c>
      <c r="Y47">
        <v>5103140.8439999996</v>
      </c>
      <c r="Z47" s="254">
        <f t="shared" si="0"/>
        <v>11</v>
      </c>
    </row>
    <row r="48" spans="2:26" hidden="1" x14ac:dyDescent="0.25">
      <c r="B48" t="s">
        <v>284</v>
      </c>
      <c r="C48">
        <v>4001</v>
      </c>
      <c r="D48" t="s">
        <v>289</v>
      </c>
      <c r="E48" s="130">
        <v>45291</v>
      </c>
      <c r="F48" t="s">
        <v>286</v>
      </c>
      <c r="G48">
        <v>60.86</v>
      </c>
      <c r="H48">
        <v>4.8</v>
      </c>
      <c r="I48">
        <v>0.67</v>
      </c>
      <c r="J48">
        <v>0.08</v>
      </c>
      <c r="K48">
        <v>0.21</v>
      </c>
      <c r="L48">
        <v>0.46</v>
      </c>
      <c r="M48">
        <v>0.04</v>
      </c>
      <c r="N48">
        <v>0.01</v>
      </c>
      <c r="O48">
        <v>-0.26</v>
      </c>
      <c r="P48">
        <v>-0.42</v>
      </c>
      <c r="Q48">
        <v>0</v>
      </c>
      <c r="R48">
        <v>0</v>
      </c>
      <c r="S48">
        <v>0.48</v>
      </c>
      <c r="T48">
        <v>0.46</v>
      </c>
      <c r="U48">
        <v>0.23</v>
      </c>
      <c r="V48">
        <v>2.52</v>
      </c>
      <c r="W48">
        <v>0</v>
      </c>
      <c r="X48">
        <v>70.14</v>
      </c>
      <c r="Y48">
        <v>1073151.784</v>
      </c>
      <c r="Z48" s="254">
        <f t="shared" si="0"/>
        <v>12</v>
      </c>
    </row>
    <row r="49" spans="2:26" hidden="1" x14ac:dyDescent="0.25">
      <c r="B49" t="s">
        <v>284</v>
      </c>
      <c r="C49">
        <v>4001</v>
      </c>
      <c r="D49" t="s">
        <v>289</v>
      </c>
      <c r="E49" s="130">
        <v>45291</v>
      </c>
      <c r="F49" t="s">
        <v>287</v>
      </c>
      <c r="G49">
        <v>55.14</v>
      </c>
      <c r="H49">
        <v>4.8</v>
      </c>
      <c r="I49">
        <v>0.56999999999999995</v>
      </c>
      <c r="J49">
        <v>7.0000000000000007E-2</v>
      </c>
      <c r="K49">
        <v>0.2</v>
      </c>
      <c r="L49">
        <v>0</v>
      </c>
      <c r="M49">
        <v>0.03</v>
      </c>
      <c r="N49">
        <v>0.02</v>
      </c>
      <c r="O49">
        <v>-0.24</v>
      </c>
      <c r="P49">
        <v>-0.42</v>
      </c>
      <c r="Q49">
        <v>0</v>
      </c>
      <c r="R49">
        <v>0</v>
      </c>
      <c r="S49">
        <v>0.48</v>
      </c>
      <c r="T49">
        <v>0.46</v>
      </c>
      <c r="U49">
        <v>0.23</v>
      </c>
      <c r="V49">
        <v>2.61</v>
      </c>
      <c r="W49">
        <v>0</v>
      </c>
      <c r="X49">
        <v>63.93</v>
      </c>
      <c r="Y49">
        <v>531969.85199999996</v>
      </c>
      <c r="Z49" s="254">
        <f t="shared" si="0"/>
        <v>12</v>
      </c>
    </row>
    <row r="50" spans="2:26" hidden="1" x14ac:dyDescent="0.25">
      <c r="B50" t="s">
        <v>284</v>
      </c>
      <c r="C50">
        <v>4001</v>
      </c>
      <c r="D50" t="s">
        <v>289</v>
      </c>
      <c r="E50" s="130">
        <v>45291</v>
      </c>
      <c r="F50" t="s">
        <v>288</v>
      </c>
      <c r="G50">
        <v>67.239999999999995</v>
      </c>
      <c r="H50">
        <v>4.8</v>
      </c>
      <c r="I50">
        <v>0.79</v>
      </c>
      <c r="J50">
        <v>0.1</v>
      </c>
      <c r="K50">
        <v>0.22</v>
      </c>
      <c r="L50">
        <v>0.98</v>
      </c>
      <c r="M50">
        <v>0.06</v>
      </c>
      <c r="N50">
        <v>0</v>
      </c>
      <c r="O50">
        <v>-0.28999999999999998</v>
      </c>
      <c r="P50">
        <v>-0.42</v>
      </c>
      <c r="Q50">
        <v>0</v>
      </c>
      <c r="R50">
        <v>0</v>
      </c>
      <c r="S50">
        <v>0.48</v>
      </c>
      <c r="T50">
        <v>0.46</v>
      </c>
      <c r="U50">
        <v>0.23</v>
      </c>
      <c r="V50">
        <v>2.42</v>
      </c>
      <c r="W50">
        <v>0</v>
      </c>
      <c r="X50">
        <v>77.06</v>
      </c>
      <c r="Y50">
        <v>541181.93200000003</v>
      </c>
      <c r="Z50" s="254">
        <f t="shared" si="0"/>
        <v>12</v>
      </c>
    </row>
    <row r="51" spans="2:26" hidden="1" x14ac:dyDescent="0.25">
      <c r="B51" t="s">
        <v>284</v>
      </c>
      <c r="C51">
        <v>4001</v>
      </c>
      <c r="D51" t="s">
        <v>289</v>
      </c>
      <c r="E51" s="130">
        <v>45322</v>
      </c>
      <c r="F51" t="s">
        <v>286</v>
      </c>
      <c r="G51">
        <v>31.25</v>
      </c>
      <c r="H51">
        <v>5.5</v>
      </c>
      <c r="I51">
        <v>0.5</v>
      </c>
      <c r="J51">
        <v>0.05</v>
      </c>
      <c r="K51">
        <v>0.13</v>
      </c>
      <c r="L51">
        <v>0.54</v>
      </c>
      <c r="M51">
        <v>0.03</v>
      </c>
      <c r="N51">
        <v>0</v>
      </c>
      <c r="O51">
        <v>-0.16</v>
      </c>
      <c r="P51">
        <v>-0.44</v>
      </c>
      <c r="Q51">
        <v>0</v>
      </c>
      <c r="R51">
        <v>0</v>
      </c>
      <c r="S51">
        <v>0.48</v>
      </c>
      <c r="T51">
        <v>0.49</v>
      </c>
      <c r="U51">
        <v>0.23</v>
      </c>
      <c r="V51">
        <v>2.64</v>
      </c>
      <c r="W51">
        <v>0</v>
      </c>
      <c r="X51">
        <v>41.22</v>
      </c>
      <c r="Y51">
        <v>936946.53599999996</v>
      </c>
      <c r="Z51" s="254">
        <f t="shared" si="0"/>
        <v>1</v>
      </c>
    </row>
    <row r="52" spans="2:26" hidden="1" x14ac:dyDescent="0.25">
      <c r="B52" t="s">
        <v>284</v>
      </c>
      <c r="C52">
        <v>4001</v>
      </c>
      <c r="D52" t="s">
        <v>289</v>
      </c>
      <c r="E52" s="130">
        <v>45322</v>
      </c>
      <c r="F52" t="s">
        <v>287</v>
      </c>
      <c r="G52">
        <v>29.69</v>
      </c>
      <c r="H52">
        <v>5.5</v>
      </c>
      <c r="I52">
        <v>0.55000000000000004</v>
      </c>
      <c r="J52">
        <v>0.05</v>
      </c>
      <c r="K52">
        <v>0.12</v>
      </c>
      <c r="L52">
        <v>0</v>
      </c>
      <c r="M52">
        <v>0.02</v>
      </c>
      <c r="N52">
        <v>0</v>
      </c>
      <c r="O52">
        <v>-0.14000000000000001</v>
      </c>
      <c r="P52">
        <v>-0.44</v>
      </c>
      <c r="Q52">
        <v>0</v>
      </c>
      <c r="R52">
        <v>0</v>
      </c>
      <c r="S52">
        <v>0.48</v>
      </c>
      <c r="T52">
        <v>0.49</v>
      </c>
      <c r="U52">
        <v>0.23</v>
      </c>
      <c r="V52">
        <v>2.68</v>
      </c>
      <c r="W52">
        <v>0</v>
      </c>
      <c r="X52">
        <v>39.229999999999997</v>
      </c>
      <c r="Y52">
        <v>458361.63799999998</v>
      </c>
      <c r="Z52" s="254">
        <f t="shared" si="0"/>
        <v>1</v>
      </c>
    </row>
    <row r="53" spans="2:26" hidden="1" x14ac:dyDescent="0.25">
      <c r="B53" t="s">
        <v>284</v>
      </c>
      <c r="C53">
        <v>4001</v>
      </c>
      <c r="D53" t="s">
        <v>289</v>
      </c>
      <c r="E53" s="130">
        <v>45322</v>
      </c>
      <c r="F53" t="s">
        <v>288</v>
      </c>
      <c r="G53">
        <v>32.909999999999997</v>
      </c>
      <c r="H53">
        <v>5.5</v>
      </c>
      <c r="I53">
        <v>0.45</v>
      </c>
      <c r="J53">
        <v>0.04</v>
      </c>
      <c r="K53">
        <v>0.14000000000000001</v>
      </c>
      <c r="L53">
        <v>1.1100000000000001</v>
      </c>
      <c r="M53">
        <v>0.03</v>
      </c>
      <c r="N53">
        <v>0</v>
      </c>
      <c r="O53">
        <v>-0.19</v>
      </c>
      <c r="P53">
        <v>-0.44</v>
      </c>
      <c r="Q53">
        <v>0</v>
      </c>
      <c r="R53">
        <v>0</v>
      </c>
      <c r="S53">
        <v>0.48</v>
      </c>
      <c r="T53">
        <v>0.49</v>
      </c>
      <c r="U53">
        <v>0.23</v>
      </c>
      <c r="V53">
        <v>2.59</v>
      </c>
      <c r="W53">
        <v>0</v>
      </c>
      <c r="X53">
        <v>43.36</v>
      </c>
      <c r="Y53">
        <v>478584.89799999999</v>
      </c>
      <c r="Z53" s="254">
        <f t="shared" si="0"/>
        <v>1</v>
      </c>
    </row>
    <row r="54" spans="2:26" hidden="1" x14ac:dyDescent="0.25">
      <c r="B54" t="s">
        <v>284</v>
      </c>
      <c r="C54">
        <v>4001</v>
      </c>
      <c r="D54" t="s">
        <v>289</v>
      </c>
      <c r="E54" s="130">
        <v>45351</v>
      </c>
      <c r="F54" t="s">
        <v>286</v>
      </c>
      <c r="G54">
        <v>22.53</v>
      </c>
      <c r="H54">
        <v>5.59</v>
      </c>
      <c r="I54">
        <v>0.41</v>
      </c>
      <c r="J54">
        <v>0.05</v>
      </c>
      <c r="K54">
        <v>0.1</v>
      </c>
      <c r="L54">
        <v>0.55000000000000004</v>
      </c>
      <c r="M54">
        <v>0.02</v>
      </c>
      <c r="N54">
        <v>-0.01</v>
      </c>
      <c r="O54">
        <v>-0.06</v>
      </c>
      <c r="P54">
        <v>-0.15</v>
      </c>
      <c r="Q54">
        <v>0</v>
      </c>
      <c r="R54">
        <v>0</v>
      </c>
      <c r="S54">
        <v>0.48</v>
      </c>
      <c r="T54">
        <v>0.46</v>
      </c>
      <c r="U54">
        <v>0.23</v>
      </c>
      <c r="V54">
        <v>0</v>
      </c>
      <c r="W54">
        <v>0</v>
      </c>
      <c r="X54">
        <v>30.2</v>
      </c>
      <c r="Y54">
        <v>920712.17099999997</v>
      </c>
      <c r="Z54" s="254">
        <f t="shared" si="0"/>
        <v>2</v>
      </c>
    </row>
    <row r="55" spans="2:26" hidden="1" x14ac:dyDescent="0.25">
      <c r="B55" t="s">
        <v>284</v>
      </c>
      <c r="C55">
        <v>4001</v>
      </c>
      <c r="D55" t="s">
        <v>289</v>
      </c>
      <c r="E55" s="130">
        <v>45351</v>
      </c>
      <c r="F55" t="s">
        <v>287</v>
      </c>
      <c r="G55">
        <v>21.67</v>
      </c>
      <c r="H55">
        <v>5.59</v>
      </c>
      <c r="I55">
        <v>0.34</v>
      </c>
      <c r="J55">
        <v>0.04</v>
      </c>
      <c r="K55">
        <v>0.1</v>
      </c>
      <c r="L55">
        <v>0</v>
      </c>
      <c r="M55">
        <v>0.02</v>
      </c>
      <c r="N55">
        <v>0</v>
      </c>
      <c r="O55">
        <v>-0.04</v>
      </c>
      <c r="P55">
        <v>-0.15</v>
      </c>
      <c r="Q55">
        <v>0</v>
      </c>
      <c r="R55">
        <v>0</v>
      </c>
      <c r="S55">
        <v>0.48</v>
      </c>
      <c r="T55">
        <v>0.46</v>
      </c>
      <c r="U55">
        <v>0.23</v>
      </c>
      <c r="V55">
        <v>0</v>
      </c>
      <c r="W55">
        <v>0</v>
      </c>
      <c r="X55">
        <v>28.73</v>
      </c>
      <c r="Y55">
        <v>476602.49699999997</v>
      </c>
      <c r="Z55" s="254">
        <f t="shared" si="0"/>
        <v>2</v>
      </c>
    </row>
    <row r="56" spans="2:26" hidden="1" x14ac:dyDescent="0.25">
      <c r="B56" t="s">
        <v>284</v>
      </c>
      <c r="C56">
        <v>4001</v>
      </c>
      <c r="D56" t="s">
        <v>289</v>
      </c>
      <c r="E56" s="130">
        <v>45351</v>
      </c>
      <c r="F56" t="s">
        <v>288</v>
      </c>
      <c r="G56">
        <v>23.57</v>
      </c>
      <c r="H56">
        <v>5.59</v>
      </c>
      <c r="I56">
        <v>0.5</v>
      </c>
      <c r="J56">
        <v>0.05</v>
      </c>
      <c r="K56">
        <v>0.1</v>
      </c>
      <c r="L56">
        <v>1.21</v>
      </c>
      <c r="M56">
        <v>0.02</v>
      </c>
      <c r="N56">
        <v>-0.01</v>
      </c>
      <c r="O56">
        <v>-7.0000000000000007E-2</v>
      </c>
      <c r="P56">
        <v>-0.15</v>
      </c>
      <c r="Q56">
        <v>0</v>
      </c>
      <c r="R56">
        <v>0</v>
      </c>
      <c r="S56">
        <v>0.48</v>
      </c>
      <c r="T56">
        <v>0.46</v>
      </c>
      <c r="U56">
        <v>0.23</v>
      </c>
      <c r="V56">
        <v>0</v>
      </c>
      <c r="W56">
        <v>0</v>
      </c>
      <c r="X56">
        <v>31.98</v>
      </c>
      <c r="Y56">
        <v>444109.674</v>
      </c>
      <c r="Z56" s="254">
        <f t="shared" si="0"/>
        <v>2</v>
      </c>
    </row>
    <row r="57" spans="2:26" hidden="1" x14ac:dyDescent="0.25">
      <c r="B57" t="s">
        <v>284</v>
      </c>
      <c r="C57">
        <v>4001</v>
      </c>
      <c r="D57" t="s">
        <v>289</v>
      </c>
      <c r="E57" s="130">
        <v>45382</v>
      </c>
      <c r="F57" t="s">
        <v>286</v>
      </c>
      <c r="G57">
        <v>23.52</v>
      </c>
      <c r="H57">
        <v>6.38</v>
      </c>
      <c r="I57">
        <v>0.54</v>
      </c>
      <c r="J57">
        <v>0.06</v>
      </c>
      <c r="K57">
        <v>0.1</v>
      </c>
      <c r="L57">
        <v>0.55000000000000004</v>
      </c>
      <c r="M57">
        <v>0.02</v>
      </c>
      <c r="N57">
        <v>0</v>
      </c>
      <c r="O57">
        <v>-0.02</v>
      </c>
      <c r="P57">
        <v>-0.14000000000000001</v>
      </c>
      <c r="Q57">
        <v>0</v>
      </c>
      <c r="R57">
        <v>0</v>
      </c>
      <c r="S57">
        <v>0.48</v>
      </c>
      <c r="T57">
        <v>0.47</v>
      </c>
      <c r="U57">
        <v>0.23</v>
      </c>
      <c r="V57">
        <v>0</v>
      </c>
      <c r="W57">
        <v>0</v>
      </c>
      <c r="X57">
        <v>32.200000000000003</v>
      </c>
      <c r="Y57">
        <v>806876.47199999995</v>
      </c>
      <c r="Z57" s="254">
        <f t="shared" si="0"/>
        <v>3</v>
      </c>
    </row>
    <row r="58" spans="2:26" hidden="1" x14ac:dyDescent="0.25">
      <c r="B58" t="s">
        <v>284</v>
      </c>
      <c r="C58">
        <v>4001</v>
      </c>
      <c r="D58" t="s">
        <v>289</v>
      </c>
      <c r="E58" s="130">
        <v>45382</v>
      </c>
      <c r="F58" t="s">
        <v>287</v>
      </c>
      <c r="G58">
        <v>22.89</v>
      </c>
      <c r="H58">
        <v>6.38</v>
      </c>
      <c r="I58">
        <v>0.59</v>
      </c>
      <c r="J58">
        <v>0.06</v>
      </c>
      <c r="K58">
        <v>7.0000000000000007E-2</v>
      </c>
      <c r="L58">
        <v>0</v>
      </c>
      <c r="M58">
        <v>0.03</v>
      </c>
      <c r="N58">
        <v>0</v>
      </c>
      <c r="O58">
        <v>0</v>
      </c>
      <c r="P58">
        <v>-0.14000000000000001</v>
      </c>
      <c r="Q58">
        <v>0</v>
      </c>
      <c r="R58">
        <v>0</v>
      </c>
      <c r="S58">
        <v>0.48</v>
      </c>
      <c r="T58">
        <v>0.47</v>
      </c>
      <c r="U58">
        <v>0.23</v>
      </c>
      <c r="V58">
        <v>0</v>
      </c>
      <c r="W58">
        <v>0</v>
      </c>
      <c r="X58">
        <v>31.05</v>
      </c>
      <c r="Y58">
        <v>392695.12900000002</v>
      </c>
      <c r="Z58" s="254">
        <f t="shared" si="0"/>
        <v>3</v>
      </c>
    </row>
    <row r="59" spans="2:26" hidden="1" x14ac:dyDescent="0.25">
      <c r="B59" t="s">
        <v>284</v>
      </c>
      <c r="C59">
        <v>4001</v>
      </c>
      <c r="D59" t="s">
        <v>289</v>
      </c>
      <c r="E59" s="130">
        <v>45382</v>
      </c>
      <c r="F59" t="s">
        <v>288</v>
      </c>
      <c r="G59">
        <v>24.18</v>
      </c>
      <c r="H59">
        <v>6.38</v>
      </c>
      <c r="I59">
        <v>0.5</v>
      </c>
      <c r="J59">
        <v>0.06</v>
      </c>
      <c r="K59">
        <v>0.13</v>
      </c>
      <c r="L59">
        <v>1.1299999999999999</v>
      </c>
      <c r="M59">
        <v>0.02</v>
      </c>
      <c r="N59">
        <v>0</v>
      </c>
      <c r="O59">
        <v>-0.03</v>
      </c>
      <c r="P59">
        <v>-0.14000000000000001</v>
      </c>
      <c r="Q59">
        <v>0</v>
      </c>
      <c r="R59">
        <v>0</v>
      </c>
      <c r="S59">
        <v>0.48</v>
      </c>
      <c r="T59">
        <v>0.47</v>
      </c>
      <c r="U59">
        <v>0.23</v>
      </c>
      <c r="V59">
        <v>0</v>
      </c>
      <c r="W59">
        <v>0</v>
      </c>
      <c r="X59">
        <v>33.4</v>
      </c>
      <c r="Y59">
        <v>414181.34299999999</v>
      </c>
      <c r="Z59" s="254">
        <f t="shared" si="0"/>
        <v>3</v>
      </c>
    </row>
    <row r="60" spans="2:26" hidden="1" x14ac:dyDescent="0.25">
      <c r="B60" t="s">
        <v>284</v>
      </c>
      <c r="C60">
        <v>4001</v>
      </c>
      <c r="D60" t="s">
        <v>289</v>
      </c>
      <c r="E60" s="130">
        <v>45412</v>
      </c>
      <c r="F60" t="s">
        <v>286</v>
      </c>
      <c r="G60">
        <v>25.32</v>
      </c>
      <c r="H60">
        <v>6.23</v>
      </c>
      <c r="I60">
        <v>0.5</v>
      </c>
      <c r="J60">
        <v>0.06</v>
      </c>
      <c r="K60">
        <v>7.0000000000000007E-2</v>
      </c>
      <c r="L60">
        <v>0.56000000000000005</v>
      </c>
      <c r="M60">
        <v>0.02</v>
      </c>
      <c r="N60">
        <v>0</v>
      </c>
      <c r="O60">
        <v>-0.06</v>
      </c>
      <c r="P60">
        <v>-0.12</v>
      </c>
      <c r="Q60">
        <v>0</v>
      </c>
      <c r="R60">
        <v>0</v>
      </c>
      <c r="S60">
        <v>0.48</v>
      </c>
      <c r="T60">
        <v>0.46</v>
      </c>
      <c r="U60">
        <v>0.23</v>
      </c>
      <c r="V60">
        <v>0</v>
      </c>
      <c r="W60">
        <v>0</v>
      </c>
      <c r="X60">
        <v>33.75</v>
      </c>
      <c r="Y60">
        <v>825632.92299999995</v>
      </c>
      <c r="Z60" s="254">
        <f t="shared" si="0"/>
        <v>4</v>
      </c>
    </row>
    <row r="61" spans="2:26" hidden="1" x14ac:dyDescent="0.25">
      <c r="B61" t="s">
        <v>284</v>
      </c>
      <c r="C61">
        <v>4001</v>
      </c>
      <c r="D61" t="s">
        <v>289</v>
      </c>
      <c r="E61" s="130">
        <v>45412</v>
      </c>
      <c r="F61" t="s">
        <v>287</v>
      </c>
      <c r="G61">
        <v>24.27</v>
      </c>
      <c r="H61">
        <v>6.23</v>
      </c>
      <c r="I61">
        <v>0.61</v>
      </c>
      <c r="J61">
        <v>0.06</v>
      </c>
      <c r="K61">
        <v>0.06</v>
      </c>
      <c r="L61">
        <v>0</v>
      </c>
      <c r="M61">
        <v>0.03</v>
      </c>
      <c r="N61">
        <v>0</v>
      </c>
      <c r="O61">
        <v>-0.04</v>
      </c>
      <c r="P61">
        <v>-0.12</v>
      </c>
      <c r="Q61">
        <v>0</v>
      </c>
      <c r="R61">
        <v>0</v>
      </c>
      <c r="S61">
        <v>0.48</v>
      </c>
      <c r="T61">
        <v>0.46</v>
      </c>
      <c r="U61">
        <v>0.23</v>
      </c>
      <c r="V61">
        <v>0</v>
      </c>
      <c r="W61">
        <v>0</v>
      </c>
      <c r="X61">
        <v>32.26</v>
      </c>
      <c r="Y61">
        <v>405507.77500000002</v>
      </c>
      <c r="Z61" s="254">
        <f t="shared" si="0"/>
        <v>4</v>
      </c>
    </row>
    <row r="62" spans="2:26" hidden="1" x14ac:dyDescent="0.25">
      <c r="B62" t="s">
        <v>284</v>
      </c>
      <c r="C62">
        <v>4001</v>
      </c>
      <c r="D62" t="s">
        <v>289</v>
      </c>
      <c r="E62" s="130">
        <v>45412</v>
      </c>
      <c r="F62" t="s">
        <v>288</v>
      </c>
      <c r="G62">
        <v>26.49</v>
      </c>
      <c r="H62">
        <v>6.23</v>
      </c>
      <c r="I62">
        <v>0.38</v>
      </c>
      <c r="J62">
        <v>0.05</v>
      </c>
      <c r="K62">
        <v>0.08</v>
      </c>
      <c r="L62">
        <v>1.19</v>
      </c>
      <c r="M62">
        <v>0.01</v>
      </c>
      <c r="N62">
        <v>0</v>
      </c>
      <c r="O62">
        <v>-0.08</v>
      </c>
      <c r="P62">
        <v>-0.12</v>
      </c>
      <c r="Q62">
        <v>0</v>
      </c>
      <c r="R62">
        <v>0</v>
      </c>
      <c r="S62">
        <v>0.48</v>
      </c>
      <c r="T62">
        <v>0.46</v>
      </c>
      <c r="U62">
        <v>0.23</v>
      </c>
      <c r="V62">
        <v>0</v>
      </c>
      <c r="W62">
        <v>0</v>
      </c>
      <c r="X62">
        <v>35.409999999999997</v>
      </c>
      <c r="Y62">
        <v>420125.14799999999</v>
      </c>
      <c r="Z62" s="254">
        <f t="shared" si="0"/>
        <v>4</v>
      </c>
    </row>
    <row r="63" spans="2:26" hidden="1" x14ac:dyDescent="0.25">
      <c r="B63" t="s">
        <v>284</v>
      </c>
      <c r="C63">
        <v>4001</v>
      </c>
      <c r="D63" t="s">
        <v>289</v>
      </c>
      <c r="E63" s="130">
        <v>45443</v>
      </c>
      <c r="F63" t="s">
        <v>286</v>
      </c>
      <c r="G63">
        <v>30.11</v>
      </c>
      <c r="H63">
        <v>7.16</v>
      </c>
      <c r="I63">
        <v>0.67</v>
      </c>
      <c r="J63">
        <v>7.0000000000000007E-2</v>
      </c>
      <c r="K63">
        <v>0.09</v>
      </c>
      <c r="L63">
        <v>0.53</v>
      </c>
      <c r="M63">
        <v>0.11</v>
      </c>
      <c r="N63">
        <v>0</v>
      </c>
      <c r="O63">
        <v>-0.14000000000000001</v>
      </c>
      <c r="P63">
        <v>-0.1</v>
      </c>
      <c r="Q63">
        <v>-0.02</v>
      </c>
      <c r="R63">
        <v>0</v>
      </c>
      <c r="S63">
        <v>0.48</v>
      </c>
      <c r="T63">
        <v>0.47</v>
      </c>
      <c r="U63">
        <v>0.23</v>
      </c>
      <c r="V63">
        <v>0</v>
      </c>
      <c r="W63">
        <v>0</v>
      </c>
      <c r="X63">
        <v>39.659999999999997</v>
      </c>
      <c r="Y63">
        <v>883856.72199999995</v>
      </c>
      <c r="Z63" s="254">
        <f t="shared" si="0"/>
        <v>5</v>
      </c>
    </row>
    <row r="64" spans="2:26" hidden="1" x14ac:dyDescent="0.25">
      <c r="B64" t="s">
        <v>284</v>
      </c>
      <c r="C64">
        <v>4001</v>
      </c>
      <c r="D64" t="s">
        <v>289</v>
      </c>
      <c r="E64" s="130">
        <v>45443</v>
      </c>
      <c r="F64" t="s">
        <v>287</v>
      </c>
      <c r="G64">
        <v>24.58</v>
      </c>
      <c r="H64">
        <v>7.16</v>
      </c>
      <c r="I64">
        <v>0.54</v>
      </c>
      <c r="J64">
        <v>0.06</v>
      </c>
      <c r="K64">
        <v>0.09</v>
      </c>
      <c r="L64">
        <v>0</v>
      </c>
      <c r="M64">
        <v>0.01</v>
      </c>
      <c r="N64">
        <v>-0.01</v>
      </c>
      <c r="O64">
        <v>-0.11</v>
      </c>
      <c r="P64">
        <v>-0.1</v>
      </c>
      <c r="Q64">
        <v>0</v>
      </c>
      <c r="R64">
        <v>0</v>
      </c>
      <c r="S64">
        <v>0.48</v>
      </c>
      <c r="T64">
        <v>0.47</v>
      </c>
      <c r="U64">
        <v>0.23</v>
      </c>
      <c r="V64">
        <v>0</v>
      </c>
      <c r="W64">
        <v>0</v>
      </c>
      <c r="X64">
        <v>33.4</v>
      </c>
      <c r="Y64">
        <v>443624.52100000001</v>
      </c>
      <c r="Z64" s="254">
        <f t="shared" si="0"/>
        <v>5</v>
      </c>
    </row>
    <row r="65" spans="2:26" hidden="1" x14ac:dyDescent="0.25">
      <c r="B65" t="s">
        <v>284</v>
      </c>
      <c r="C65">
        <v>4001</v>
      </c>
      <c r="D65" t="s">
        <v>289</v>
      </c>
      <c r="E65" s="130">
        <v>45443</v>
      </c>
      <c r="F65" t="s">
        <v>288</v>
      </c>
      <c r="G65">
        <v>37.01</v>
      </c>
      <c r="H65">
        <v>7.16</v>
      </c>
      <c r="I65">
        <v>0.84</v>
      </c>
      <c r="J65">
        <v>0.09</v>
      </c>
      <c r="K65">
        <v>0.1</v>
      </c>
      <c r="L65">
        <v>1.19</v>
      </c>
      <c r="M65">
        <v>0.24</v>
      </c>
      <c r="N65">
        <v>0</v>
      </c>
      <c r="O65">
        <v>-0.17</v>
      </c>
      <c r="P65">
        <v>-0.1</v>
      </c>
      <c r="Q65">
        <v>-0.04</v>
      </c>
      <c r="R65">
        <v>0</v>
      </c>
      <c r="S65">
        <v>0.48</v>
      </c>
      <c r="T65">
        <v>0.47</v>
      </c>
      <c r="U65">
        <v>0.23</v>
      </c>
      <c r="V65">
        <v>0</v>
      </c>
      <c r="W65">
        <v>0</v>
      </c>
      <c r="X65">
        <v>47.5</v>
      </c>
      <c r="Y65">
        <v>440232.201</v>
      </c>
      <c r="Z65" s="254">
        <f t="shared" si="0"/>
        <v>5</v>
      </c>
    </row>
    <row r="66" spans="2:26" hidden="1" x14ac:dyDescent="0.25">
      <c r="B66" t="s">
        <v>284</v>
      </c>
      <c r="C66">
        <v>4001</v>
      </c>
      <c r="D66" t="s">
        <v>289</v>
      </c>
      <c r="E66" s="130">
        <v>45473</v>
      </c>
      <c r="F66" t="s">
        <v>286</v>
      </c>
      <c r="G66">
        <v>42.09</v>
      </c>
      <c r="H66">
        <v>5.97</v>
      </c>
      <c r="I66">
        <v>2.0499999999999998</v>
      </c>
      <c r="J66">
        <v>0.1</v>
      </c>
      <c r="K66">
        <v>0.2</v>
      </c>
      <c r="L66">
        <v>0.46</v>
      </c>
      <c r="M66">
        <v>0.36</v>
      </c>
      <c r="N66">
        <v>-0.01</v>
      </c>
      <c r="O66">
        <v>-0.33</v>
      </c>
      <c r="P66">
        <v>-0.11</v>
      </c>
      <c r="Q66">
        <v>0</v>
      </c>
      <c r="R66">
        <v>0</v>
      </c>
      <c r="S66">
        <v>0.48</v>
      </c>
      <c r="T66">
        <v>0.46</v>
      </c>
      <c r="U66">
        <v>0.23</v>
      </c>
      <c r="V66">
        <v>0</v>
      </c>
      <c r="W66">
        <v>0</v>
      </c>
      <c r="X66">
        <v>51.97</v>
      </c>
      <c r="Y66">
        <v>1061271.507</v>
      </c>
      <c r="Z66" s="254">
        <f t="shared" si="0"/>
        <v>6</v>
      </c>
    </row>
    <row r="67" spans="2:26" hidden="1" x14ac:dyDescent="0.25">
      <c r="B67" t="s">
        <v>284</v>
      </c>
      <c r="C67">
        <v>4001</v>
      </c>
      <c r="D67" t="s">
        <v>289</v>
      </c>
      <c r="E67" s="130">
        <v>45473</v>
      </c>
      <c r="F67" t="s">
        <v>287</v>
      </c>
      <c r="G67">
        <v>34.630000000000003</v>
      </c>
      <c r="H67">
        <v>5.97</v>
      </c>
      <c r="I67">
        <v>1.79</v>
      </c>
      <c r="J67">
        <v>0.09</v>
      </c>
      <c r="K67">
        <v>0.16</v>
      </c>
      <c r="L67">
        <v>0</v>
      </c>
      <c r="M67">
        <v>0.18</v>
      </c>
      <c r="N67">
        <v>-0.01</v>
      </c>
      <c r="O67">
        <v>-0.23</v>
      </c>
      <c r="P67">
        <v>-0.11</v>
      </c>
      <c r="Q67">
        <v>0</v>
      </c>
      <c r="R67">
        <v>0</v>
      </c>
      <c r="S67">
        <v>0.48</v>
      </c>
      <c r="T67">
        <v>0.46</v>
      </c>
      <c r="U67">
        <v>0.23</v>
      </c>
      <c r="V67">
        <v>0</v>
      </c>
      <c r="W67">
        <v>0</v>
      </c>
      <c r="X67">
        <v>43.64</v>
      </c>
      <c r="Y67">
        <v>508324.46799999999</v>
      </c>
      <c r="Z67" s="254">
        <f t="shared" si="0"/>
        <v>6</v>
      </c>
    </row>
    <row r="68" spans="2:26" hidden="1" x14ac:dyDescent="0.25">
      <c r="B68" t="s">
        <v>284</v>
      </c>
      <c r="C68">
        <v>4001</v>
      </c>
      <c r="D68" t="s">
        <v>289</v>
      </c>
      <c r="E68" s="130">
        <v>45473</v>
      </c>
      <c r="F68" t="s">
        <v>288</v>
      </c>
      <c r="G68">
        <v>50.4</v>
      </c>
      <c r="H68">
        <v>5.97</v>
      </c>
      <c r="I68">
        <v>2.35</v>
      </c>
      <c r="J68">
        <v>0.11</v>
      </c>
      <c r="K68">
        <v>0.25</v>
      </c>
      <c r="L68">
        <v>0.98</v>
      </c>
      <c r="M68">
        <v>0.56000000000000005</v>
      </c>
      <c r="N68">
        <v>-0.02</v>
      </c>
      <c r="O68">
        <v>-0.43</v>
      </c>
      <c r="P68">
        <v>-0.11</v>
      </c>
      <c r="Q68">
        <v>0</v>
      </c>
      <c r="R68">
        <v>0</v>
      </c>
      <c r="S68">
        <v>0.48</v>
      </c>
      <c r="T68">
        <v>0.46</v>
      </c>
      <c r="U68">
        <v>0.23</v>
      </c>
      <c r="V68">
        <v>0</v>
      </c>
      <c r="W68">
        <v>0</v>
      </c>
      <c r="X68">
        <v>61.24</v>
      </c>
      <c r="Y68">
        <v>552947.03899999999</v>
      </c>
      <c r="Z68" s="254">
        <f t="shared" si="0"/>
        <v>6</v>
      </c>
    </row>
    <row r="69" spans="2:26" hidden="1" x14ac:dyDescent="0.25">
      <c r="B69" t="s">
        <v>284</v>
      </c>
      <c r="C69">
        <v>4001</v>
      </c>
      <c r="D69" t="s">
        <v>289</v>
      </c>
      <c r="E69" s="130">
        <v>45504</v>
      </c>
      <c r="F69" t="s">
        <v>286</v>
      </c>
      <c r="G69">
        <v>38.04</v>
      </c>
      <c r="H69">
        <v>6.55</v>
      </c>
      <c r="I69">
        <v>0.81</v>
      </c>
      <c r="J69">
        <v>7.0000000000000007E-2</v>
      </c>
      <c r="K69">
        <v>0.21</v>
      </c>
      <c r="L69">
        <v>0.53</v>
      </c>
      <c r="M69">
        <v>0.32</v>
      </c>
      <c r="N69">
        <v>0.01</v>
      </c>
      <c r="O69">
        <v>-0.11</v>
      </c>
      <c r="P69">
        <v>-0.11</v>
      </c>
      <c r="Q69">
        <v>-0.02</v>
      </c>
      <c r="R69">
        <v>0</v>
      </c>
      <c r="S69">
        <v>0.48</v>
      </c>
      <c r="T69">
        <v>0.46</v>
      </c>
      <c r="U69">
        <v>0.23</v>
      </c>
      <c r="V69">
        <v>0</v>
      </c>
      <c r="W69">
        <v>0</v>
      </c>
      <c r="X69">
        <v>47.48</v>
      </c>
      <c r="Y69">
        <v>966457.71900000004</v>
      </c>
      <c r="Z69" s="254">
        <f t="shared" si="0"/>
        <v>7</v>
      </c>
    </row>
    <row r="70" spans="2:26" hidden="1" x14ac:dyDescent="0.25">
      <c r="B70" t="s">
        <v>284</v>
      </c>
      <c r="C70">
        <v>4001</v>
      </c>
      <c r="D70" t="s">
        <v>289</v>
      </c>
      <c r="E70" s="130">
        <v>45504</v>
      </c>
      <c r="F70" t="s">
        <v>287</v>
      </c>
      <c r="G70">
        <v>28.58</v>
      </c>
      <c r="H70">
        <v>6.55</v>
      </c>
      <c r="I70">
        <v>0.68</v>
      </c>
      <c r="J70">
        <v>0.06</v>
      </c>
      <c r="K70">
        <v>0.14000000000000001</v>
      </c>
      <c r="L70">
        <v>0</v>
      </c>
      <c r="M70">
        <v>0.01</v>
      </c>
      <c r="N70">
        <v>0.01</v>
      </c>
      <c r="O70">
        <v>-0.14000000000000001</v>
      </c>
      <c r="P70">
        <v>-0.11</v>
      </c>
      <c r="Q70">
        <v>0</v>
      </c>
      <c r="R70">
        <v>0</v>
      </c>
      <c r="S70">
        <v>0.48</v>
      </c>
      <c r="T70">
        <v>0.46</v>
      </c>
      <c r="U70">
        <v>0.23</v>
      </c>
      <c r="V70">
        <v>0</v>
      </c>
      <c r="W70">
        <v>0</v>
      </c>
      <c r="X70">
        <v>36.950000000000003</v>
      </c>
      <c r="Y70">
        <v>474261.386</v>
      </c>
      <c r="Z70" s="254">
        <f t="shared" si="0"/>
        <v>7</v>
      </c>
    </row>
    <row r="71" spans="2:26" hidden="1" x14ac:dyDescent="0.25">
      <c r="B71" t="s">
        <v>284</v>
      </c>
      <c r="C71">
        <v>4001</v>
      </c>
      <c r="D71" t="s">
        <v>289</v>
      </c>
      <c r="E71" s="130">
        <v>45504</v>
      </c>
      <c r="F71" t="s">
        <v>288</v>
      </c>
      <c r="G71">
        <v>48.58</v>
      </c>
      <c r="H71">
        <v>6.55</v>
      </c>
      <c r="I71">
        <v>0.97</v>
      </c>
      <c r="J71">
        <v>0.09</v>
      </c>
      <c r="K71">
        <v>0.3</v>
      </c>
      <c r="L71">
        <v>1.1299999999999999</v>
      </c>
      <c r="M71">
        <v>0.66</v>
      </c>
      <c r="N71">
        <v>0.01</v>
      </c>
      <c r="O71">
        <v>-0.08</v>
      </c>
      <c r="P71">
        <v>-0.11</v>
      </c>
      <c r="Q71">
        <v>-0.05</v>
      </c>
      <c r="R71">
        <v>0</v>
      </c>
      <c r="S71">
        <v>0.48</v>
      </c>
      <c r="T71">
        <v>0.46</v>
      </c>
      <c r="U71">
        <v>0.23</v>
      </c>
      <c r="V71">
        <v>0</v>
      </c>
      <c r="W71">
        <v>0</v>
      </c>
      <c r="X71">
        <v>59.2</v>
      </c>
      <c r="Y71">
        <v>492196.33299999998</v>
      </c>
      <c r="Z71" s="254">
        <f t="shared" si="0"/>
        <v>7</v>
      </c>
    </row>
    <row r="72" spans="2:26" hidden="1" x14ac:dyDescent="0.25">
      <c r="B72" t="s">
        <v>284</v>
      </c>
      <c r="C72">
        <v>4001</v>
      </c>
      <c r="D72" t="s">
        <v>289</v>
      </c>
      <c r="E72" s="130">
        <v>45535</v>
      </c>
      <c r="F72" t="s">
        <v>286</v>
      </c>
      <c r="G72">
        <v>31.38</v>
      </c>
      <c r="H72">
        <v>7.74</v>
      </c>
      <c r="I72">
        <v>0.54</v>
      </c>
      <c r="J72">
        <v>0.06</v>
      </c>
      <c r="K72">
        <v>0.09</v>
      </c>
      <c r="L72">
        <v>0.65</v>
      </c>
      <c r="M72">
        <v>0.02</v>
      </c>
      <c r="N72">
        <v>0</v>
      </c>
      <c r="O72">
        <v>-0.1</v>
      </c>
      <c r="P72">
        <v>-0.14000000000000001</v>
      </c>
      <c r="Q72">
        <v>0</v>
      </c>
      <c r="R72">
        <v>0</v>
      </c>
      <c r="S72">
        <v>0.48</v>
      </c>
      <c r="T72">
        <v>0.47</v>
      </c>
      <c r="U72">
        <v>0.23</v>
      </c>
      <c r="V72">
        <v>0</v>
      </c>
      <c r="W72">
        <v>0</v>
      </c>
      <c r="X72">
        <v>41.42</v>
      </c>
      <c r="Y72">
        <v>817600.04500000004</v>
      </c>
      <c r="Z72" s="254">
        <f t="shared" si="0"/>
        <v>8</v>
      </c>
    </row>
    <row r="73" spans="2:26" hidden="1" x14ac:dyDescent="0.25">
      <c r="B73" t="s">
        <v>284</v>
      </c>
      <c r="C73">
        <v>4001</v>
      </c>
      <c r="D73" t="s">
        <v>289</v>
      </c>
      <c r="E73" s="130">
        <v>45535</v>
      </c>
      <c r="F73" t="s">
        <v>287</v>
      </c>
      <c r="G73">
        <v>29.05</v>
      </c>
      <c r="H73">
        <v>7.74</v>
      </c>
      <c r="I73">
        <v>0.56000000000000005</v>
      </c>
      <c r="J73">
        <v>0.06</v>
      </c>
      <c r="K73">
        <v>7.0000000000000007E-2</v>
      </c>
      <c r="L73">
        <v>0</v>
      </c>
      <c r="M73">
        <v>0.02</v>
      </c>
      <c r="N73">
        <v>0</v>
      </c>
      <c r="O73">
        <v>-0.12</v>
      </c>
      <c r="P73">
        <v>-0.14000000000000001</v>
      </c>
      <c r="Q73">
        <v>0</v>
      </c>
      <c r="R73">
        <v>0</v>
      </c>
      <c r="S73">
        <v>0.48</v>
      </c>
      <c r="T73">
        <v>0.47</v>
      </c>
      <c r="U73">
        <v>0.23</v>
      </c>
      <c r="V73">
        <v>0</v>
      </c>
      <c r="W73">
        <v>0</v>
      </c>
      <c r="X73">
        <v>38.43</v>
      </c>
      <c r="Y73">
        <v>422318.587</v>
      </c>
      <c r="Z73" s="254">
        <f t="shared" si="0"/>
        <v>8</v>
      </c>
    </row>
    <row r="74" spans="2:26" hidden="1" x14ac:dyDescent="0.25">
      <c r="B74" t="s">
        <v>284</v>
      </c>
      <c r="C74">
        <v>4001</v>
      </c>
      <c r="D74" t="s">
        <v>289</v>
      </c>
      <c r="E74" s="130">
        <v>45535</v>
      </c>
      <c r="F74" t="s">
        <v>288</v>
      </c>
      <c r="G74">
        <v>34.299999999999997</v>
      </c>
      <c r="H74">
        <v>7.74</v>
      </c>
      <c r="I74">
        <v>0.52</v>
      </c>
      <c r="J74">
        <v>0.06</v>
      </c>
      <c r="K74">
        <v>0.11</v>
      </c>
      <c r="L74">
        <v>1.46</v>
      </c>
      <c r="M74">
        <v>0.03</v>
      </c>
      <c r="N74">
        <v>-0.01</v>
      </c>
      <c r="O74">
        <v>-0.09</v>
      </c>
      <c r="P74">
        <v>-0.14000000000000001</v>
      </c>
      <c r="Q74">
        <v>0</v>
      </c>
      <c r="R74">
        <v>0</v>
      </c>
      <c r="S74">
        <v>0.48</v>
      </c>
      <c r="T74">
        <v>0.47</v>
      </c>
      <c r="U74">
        <v>0.23</v>
      </c>
      <c r="V74">
        <v>0</v>
      </c>
      <c r="W74">
        <v>0</v>
      </c>
      <c r="X74">
        <v>45.16</v>
      </c>
      <c r="Y74">
        <v>395281.45799999998</v>
      </c>
      <c r="Z74" s="254">
        <f t="shared" si="0"/>
        <v>8</v>
      </c>
    </row>
    <row r="75" spans="2:26" hidden="1" x14ac:dyDescent="0.25">
      <c r="B75" t="s">
        <v>284</v>
      </c>
      <c r="C75">
        <v>4001</v>
      </c>
      <c r="D75" t="s">
        <v>289</v>
      </c>
      <c r="E75" s="130">
        <v>45565</v>
      </c>
      <c r="F75" t="s">
        <v>286</v>
      </c>
      <c r="G75">
        <v>35.14</v>
      </c>
      <c r="H75">
        <v>7.66</v>
      </c>
      <c r="I75">
        <v>0.64</v>
      </c>
      <c r="J75">
        <v>0.09</v>
      </c>
      <c r="K75">
        <v>0.16</v>
      </c>
      <c r="L75">
        <v>0.48</v>
      </c>
      <c r="M75">
        <v>0.02</v>
      </c>
      <c r="N75">
        <v>0</v>
      </c>
      <c r="O75">
        <v>-0.15</v>
      </c>
      <c r="P75">
        <v>-0.15</v>
      </c>
      <c r="Q75">
        <v>0</v>
      </c>
      <c r="R75">
        <v>0</v>
      </c>
      <c r="S75">
        <v>0.48</v>
      </c>
      <c r="T75">
        <v>0.46</v>
      </c>
      <c r="U75">
        <v>0.23</v>
      </c>
      <c r="V75">
        <v>0</v>
      </c>
      <c r="W75">
        <v>0</v>
      </c>
      <c r="X75">
        <v>45.06</v>
      </c>
      <c r="Y75">
        <v>834297.3</v>
      </c>
      <c r="Z75" s="254">
        <f t="shared" si="0"/>
        <v>9</v>
      </c>
    </row>
    <row r="76" spans="2:26" hidden="1" x14ac:dyDescent="0.25">
      <c r="B76" t="s">
        <v>284</v>
      </c>
      <c r="C76">
        <v>4001</v>
      </c>
      <c r="D76" t="s">
        <v>289</v>
      </c>
      <c r="E76" s="130">
        <v>45565</v>
      </c>
      <c r="F76" t="s">
        <v>287</v>
      </c>
      <c r="G76">
        <v>30.62</v>
      </c>
      <c r="H76">
        <v>7.66</v>
      </c>
      <c r="I76">
        <v>0.56000000000000005</v>
      </c>
      <c r="J76">
        <v>0.09</v>
      </c>
      <c r="K76">
        <v>0.16</v>
      </c>
      <c r="L76">
        <v>0</v>
      </c>
      <c r="M76">
        <v>0.02</v>
      </c>
      <c r="N76">
        <v>0</v>
      </c>
      <c r="O76">
        <v>-0.12</v>
      </c>
      <c r="P76">
        <v>-0.15</v>
      </c>
      <c r="Q76">
        <v>0</v>
      </c>
      <c r="R76">
        <v>0</v>
      </c>
      <c r="S76">
        <v>0.48</v>
      </c>
      <c r="T76">
        <v>0.46</v>
      </c>
      <c r="U76">
        <v>0.23</v>
      </c>
      <c r="V76">
        <v>0</v>
      </c>
      <c r="W76">
        <v>0</v>
      </c>
      <c r="X76">
        <v>40.01</v>
      </c>
      <c r="Y76">
        <v>390100.11099999998</v>
      </c>
      <c r="Z76" s="254">
        <f t="shared" si="0"/>
        <v>9</v>
      </c>
    </row>
    <row r="77" spans="2:26" hidden="1" x14ac:dyDescent="0.25">
      <c r="B77" t="s">
        <v>284</v>
      </c>
      <c r="C77">
        <v>4001</v>
      </c>
      <c r="D77" t="s">
        <v>289</v>
      </c>
      <c r="E77" s="130">
        <v>45565</v>
      </c>
      <c r="F77" t="s">
        <v>288</v>
      </c>
      <c r="G77">
        <v>39.75</v>
      </c>
      <c r="H77">
        <v>7.66</v>
      </c>
      <c r="I77">
        <v>0.71</v>
      </c>
      <c r="J77">
        <v>0.1</v>
      </c>
      <c r="K77">
        <v>0.16</v>
      </c>
      <c r="L77">
        <v>0.97</v>
      </c>
      <c r="M77">
        <v>0.03</v>
      </c>
      <c r="N77">
        <v>0</v>
      </c>
      <c r="O77">
        <v>-0.18</v>
      </c>
      <c r="P77">
        <v>-0.15</v>
      </c>
      <c r="Q77">
        <v>0</v>
      </c>
      <c r="R77">
        <v>0</v>
      </c>
      <c r="S77">
        <v>0.48</v>
      </c>
      <c r="T77">
        <v>0.46</v>
      </c>
      <c r="U77">
        <v>0.23</v>
      </c>
      <c r="V77">
        <v>0</v>
      </c>
      <c r="W77">
        <v>0</v>
      </c>
      <c r="X77">
        <v>50.23</v>
      </c>
      <c r="Y77">
        <v>444197.18900000001</v>
      </c>
      <c r="Z77" s="254">
        <f t="shared" ref="Z77:Z140" si="1">MONTH(E77)</f>
        <v>9</v>
      </c>
    </row>
    <row r="78" spans="2:26" hidden="1" x14ac:dyDescent="0.25">
      <c r="B78" t="s">
        <v>284</v>
      </c>
      <c r="C78">
        <v>4001</v>
      </c>
      <c r="D78" t="s">
        <v>289</v>
      </c>
      <c r="E78" s="130">
        <v>45596</v>
      </c>
      <c r="F78" t="s">
        <v>286</v>
      </c>
      <c r="G78">
        <v>40.97</v>
      </c>
      <c r="H78">
        <v>7.39</v>
      </c>
      <c r="I78">
        <v>0.49</v>
      </c>
      <c r="J78">
        <v>0.11</v>
      </c>
      <c r="K78">
        <v>0.23</v>
      </c>
      <c r="L78">
        <v>0.48</v>
      </c>
      <c r="M78">
        <v>0.02</v>
      </c>
      <c r="N78">
        <v>0</v>
      </c>
      <c r="O78">
        <v>-0.3</v>
      </c>
      <c r="P78">
        <v>-0.18</v>
      </c>
      <c r="Q78">
        <v>0</v>
      </c>
      <c r="R78">
        <v>0</v>
      </c>
      <c r="S78">
        <v>0.48</v>
      </c>
      <c r="T78">
        <v>0.47</v>
      </c>
      <c r="U78">
        <v>0.23</v>
      </c>
      <c r="V78">
        <v>0</v>
      </c>
      <c r="W78">
        <v>0</v>
      </c>
      <c r="X78">
        <v>50.39</v>
      </c>
      <c r="Y78">
        <v>864398.147</v>
      </c>
      <c r="Z78" s="254">
        <f t="shared" si="1"/>
        <v>10</v>
      </c>
    </row>
    <row r="79" spans="2:26" hidden="1" x14ac:dyDescent="0.25">
      <c r="B79" t="s">
        <v>284</v>
      </c>
      <c r="C79">
        <v>4001</v>
      </c>
      <c r="D79" t="s">
        <v>289</v>
      </c>
      <c r="E79" s="130">
        <v>45596</v>
      </c>
      <c r="F79" t="s">
        <v>287</v>
      </c>
      <c r="G79">
        <v>36.85</v>
      </c>
      <c r="H79">
        <v>7.39</v>
      </c>
      <c r="I79">
        <v>0.42</v>
      </c>
      <c r="J79">
        <v>0.09</v>
      </c>
      <c r="K79">
        <v>0.17</v>
      </c>
      <c r="L79">
        <v>0</v>
      </c>
      <c r="M79">
        <v>0.01</v>
      </c>
      <c r="N79">
        <v>0.01</v>
      </c>
      <c r="O79">
        <v>-0.28999999999999998</v>
      </c>
      <c r="P79">
        <v>-0.18</v>
      </c>
      <c r="Q79">
        <v>0</v>
      </c>
      <c r="R79">
        <v>0</v>
      </c>
      <c r="S79">
        <v>0.48</v>
      </c>
      <c r="T79">
        <v>0.47</v>
      </c>
      <c r="U79">
        <v>0.23</v>
      </c>
      <c r="V79">
        <v>0</v>
      </c>
      <c r="W79">
        <v>0</v>
      </c>
      <c r="X79">
        <v>45.65</v>
      </c>
      <c r="Y79">
        <v>454813.60399999999</v>
      </c>
      <c r="Z79" s="254">
        <f t="shared" si="1"/>
        <v>10</v>
      </c>
    </row>
    <row r="80" spans="2:26" hidden="1" x14ac:dyDescent="0.25">
      <c r="B80" t="s">
        <v>284</v>
      </c>
      <c r="C80">
        <v>4001</v>
      </c>
      <c r="D80" t="s">
        <v>289</v>
      </c>
      <c r="E80" s="130">
        <v>45596</v>
      </c>
      <c r="F80" t="s">
        <v>288</v>
      </c>
      <c r="G80">
        <v>46.15</v>
      </c>
      <c r="H80">
        <v>7.39</v>
      </c>
      <c r="I80">
        <v>0.57999999999999996</v>
      </c>
      <c r="J80">
        <v>0.14000000000000001</v>
      </c>
      <c r="K80">
        <v>0.3</v>
      </c>
      <c r="L80">
        <v>1.0900000000000001</v>
      </c>
      <c r="M80">
        <v>0.02</v>
      </c>
      <c r="N80">
        <v>0</v>
      </c>
      <c r="O80">
        <v>-0.33</v>
      </c>
      <c r="P80">
        <v>-0.18</v>
      </c>
      <c r="Q80">
        <v>0</v>
      </c>
      <c r="R80">
        <v>0</v>
      </c>
      <c r="S80">
        <v>0.48</v>
      </c>
      <c r="T80">
        <v>0.47</v>
      </c>
      <c r="U80">
        <v>0.23</v>
      </c>
      <c r="V80">
        <v>0</v>
      </c>
      <c r="W80">
        <v>0</v>
      </c>
      <c r="X80">
        <v>56.33</v>
      </c>
      <c r="Y80">
        <v>409584.54300000001</v>
      </c>
      <c r="Z80" s="254">
        <f t="shared" si="1"/>
        <v>10</v>
      </c>
    </row>
    <row r="81" spans="2:26" hidden="1" x14ac:dyDescent="0.25">
      <c r="B81" t="s">
        <v>284</v>
      </c>
      <c r="C81">
        <v>4001</v>
      </c>
      <c r="D81" t="s">
        <v>289</v>
      </c>
      <c r="E81" s="130">
        <v>45626</v>
      </c>
      <c r="F81" t="s">
        <v>286</v>
      </c>
      <c r="G81">
        <v>84.3</v>
      </c>
      <c r="H81">
        <v>6.07</v>
      </c>
      <c r="I81">
        <v>0.6</v>
      </c>
      <c r="J81">
        <v>0.22</v>
      </c>
      <c r="K81">
        <v>0.17</v>
      </c>
      <c r="L81">
        <v>0.39</v>
      </c>
      <c r="M81">
        <v>0.04</v>
      </c>
      <c r="N81">
        <v>0.01</v>
      </c>
      <c r="O81">
        <v>-0.59</v>
      </c>
      <c r="P81">
        <v>-0.3</v>
      </c>
      <c r="Q81">
        <v>0</v>
      </c>
      <c r="R81">
        <v>0</v>
      </c>
      <c r="S81">
        <v>0.48</v>
      </c>
      <c r="T81">
        <v>0.46</v>
      </c>
      <c r="U81">
        <v>0.23</v>
      </c>
      <c r="V81">
        <v>2.58</v>
      </c>
      <c r="W81">
        <v>0</v>
      </c>
      <c r="X81">
        <v>94.67</v>
      </c>
      <c r="Y81">
        <v>1053125.2819999999</v>
      </c>
      <c r="Z81" s="254">
        <f t="shared" si="1"/>
        <v>11</v>
      </c>
    </row>
    <row r="82" spans="2:26" hidden="1" x14ac:dyDescent="0.25">
      <c r="B82" t="s">
        <v>284</v>
      </c>
      <c r="C82">
        <v>4001</v>
      </c>
      <c r="D82" t="s">
        <v>289</v>
      </c>
      <c r="E82" s="130">
        <v>45626</v>
      </c>
      <c r="F82" t="s">
        <v>287</v>
      </c>
      <c r="G82">
        <v>79.41</v>
      </c>
      <c r="H82">
        <v>6.07</v>
      </c>
      <c r="I82">
        <v>0.59</v>
      </c>
      <c r="J82">
        <v>0.18</v>
      </c>
      <c r="K82">
        <v>0.18</v>
      </c>
      <c r="L82">
        <v>0</v>
      </c>
      <c r="M82">
        <v>0.03</v>
      </c>
      <c r="N82">
        <v>0.01</v>
      </c>
      <c r="O82">
        <v>-0.57999999999999996</v>
      </c>
      <c r="P82">
        <v>-0.3</v>
      </c>
      <c r="Q82">
        <v>0</v>
      </c>
      <c r="R82">
        <v>0</v>
      </c>
      <c r="S82">
        <v>0.48</v>
      </c>
      <c r="T82">
        <v>0.46</v>
      </c>
      <c r="U82">
        <v>0.23</v>
      </c>
      <c r="V82">
        <v>2.61</v>
      </c>
      <c r="W82">
        <v>0</v>
      </c>
      <c r="X82">
        <v>89.37</v>
      </c>
      <c r="Y82">
        <v>551938.05700000003</v>
      </c>
      <c r="Z82" s="254">
        <f t="shared" si="1"/>
        <v>11</v>
      </c>
    </row>
    <row r="83" spans="2:26" hidden="1" x14ac:dyDescent="0.25">
      <c r="B83" t="s">
        <v>284</v>
      </c>
      <c r="C83">
        <v>4001</v>
      </c>
      <c r="D83" t="s">
        <v>289</v>
      </c>
      <c r="E83" s="130">
        <v>45626</v>
      </c>
      <c r="F83" t="s">
        <v>288</v>
      </c>
      <c r="G83">
        <v>90.25</v>
      </c>
      <c r="H83">
        <v>6.07</v>
      </c>
      <c r="I83">
        <v>0.61</v>
      </c>
      <c r="J83">
        <v>0.27</v>
      </c>
      <c r="K83">
        <v>0.15</v>
      </c>
      <c r="L83">
        <v>0.86</v>
      </c>
      <c r="M83">
        <v>0.05</v>
      </c>
      <c r="N83">
        <v>0</v>
      </c>
      <c r="O83">
        <v>-0.59</v>
      </c>
      <c r="P83">
        <v>-0.3</v>
      </c>
      <c r="Q83">
        <v>-0.01</v>
      </c>
      <c r="R83">
        <v>0</v>
      </c>
      <c r="S83">
        <v>0.48</v>
      </c>
      <c r="T83">
        <v>0.46</v>
      </c>
      <c r="U83">
        <v>0.23</v>
      </c>
      <c r="V83">
        <v>2.5499999999999998</v>
      </c>
      <c r="W83">
        <v>0</v>
      </c>
      <c r="X83">
        <v>101.1</v>
      </c>
      <c r="Y83">
        <v>501187.22499999998</v>
      </c>
      <c r="Z83" s="254">
        <f t="shared" si="1"/>
        <v>11</v>
      </c>
    </row>
    <row r="84" spans="2:26" hidden="1" x14ac:dyDescent="0.25">
      <c r="B84" t="s">
        <v>284</v>
      </c>
      <c r="C84">
        <v>4002</v>
      </c>
      <c r="D84" t="s">
        <v>290</v>
      </c>
      <c r="E84" s="130">
        <v>45291</v>
      </c>
      <c r="F84" t="s">
        <v>286</v>
      </c>
      <c r="G84">
        <v>63.04</v>
      </c>
      <c r="H84">
        <v>5.34</v>
      </c>
      <c r="I84">
        <v>0.67</v>
      </c>
      <c r="J84">
        <v>0.08</v>
      </c>
      <c r="K84">
        <v>0.21</v>
      </c>
      <c r="L84">
        <v>0.46</v>
      </c>
      <c r="M84">
        <v>0.04</v>
      </c>
      <c r="N84">
        <v>0.01</v>
      </c>
      <c r="O84">
        <v>-0.26</v>
      </c>
      <c r="P84">
        <v>-0.42</v>
      </c>
      <c r="Q84">
        <v>0</v>
      </c>
      <c r="R84">
        <v>0</v>
      </c>
      <c r="S84">
        <v>0.48</v>
      </c>
      <c r="T84">
        <v>0.46</v>
      </c>
      <c r="U84">
        <v>0.23</v>
      </c>
      <c r="V84">
        <v>2.52</v>
      </c>
      <c r="W84">
        <v>0</v>
      </c>
      <c r="X84">
        <v>72.86</v>
      </c>
      <c r="Y84">
        <v>1053383.7150000001</v>
      </c>
      <c r="Z84" s="254">
        <f t="shared" si="1"/>
        <v>12</v>
      </c>
    </row>
    <row r="85" spans="2:26" hidden="1" x14ac:dyDescent="0.25">
      <c r="B85" t="s">
        <v>284</v>
      </c>
      <c r="C85">
        <v>4002</v>
      </c>
      <c r="D85" t="s">
        <v>290</v>
      </c>
      <c r="E85" s="130">
        <v>45291</v>
      </c>
      <c r="F85" t="s">
        <v>287</v>
      </c>
      <c r="G85">
        <v>56.69</v>
      </c>
      <c r="H85">
        <v>5.34</v>
      </c>
      <c r="I85">
        <v>0.56999999999999995</v>
      </c>
      <c r="J85">
        <v>7.0000000000000007E-2</v>
      </c>
      <c r="K85">
        <v>0.2</v>
      </c>
      <c r="L85">
        <v>0</v>
      </c>
      <c r="M85">
        <v>0.03</v>
      </c>
      <c r="N85">
        <v>0.02</v>
      </c>
      <c r="O85">
        <v>-0.24</v>
      </c>
      <c r="P85">
        <v>-0.42</v>
      </c>
      <c r="Q85">
        <v>0</v>
      </c>
      <c r="R85">
        <v>0</v>
      </c>
      <c r="S85">
        <v>0.48</v>
      </c>
      <c r="T85">
        <v>0.46</v>
      </c>
      <c r="U85">
        <v>0.23</v>
      </c>
      <c r="V85">
        <v>2.61</v>
      </c>
      <c r="W85">
        <v>0</v>
      </c>
      <c r="X85">
        <v>66.02</v>
      </c>
      <c r="Y85">
        <v>511260.88400000002</v>
      </c>
      <c r="Z85" s="254">
        <f t="shared" si="1"/>
        <v>12</v>
      </c>
    </row>
    <row r="86" spans="2:26" hidden="1" x14ac:dyDescent="0.25">
      <c r="B86" t="s">
        <v>284</v>
      </c>
      <c r="C86">
        <v>4002</v>
      </c>
      <c r="D86" t="s">
        <v>290</v>
      </c>
      <c r="E86" s="130">
        <v>45291</v>
      </c>
      <c r="F86" t="s">
        <v>288</v>
      </c>
      <c r="G86">
        <v>70.11</v>
      </c>
      <c r="H86">
        <v>5.34</v>
      </c>
      <c r="I86">
        <v>0.79</v>
      </c>
      <c r="J86">
        <v>0.1</v>
      </c>
      <c r="K86">
        <v>0.22</v>
      </c>
      <c r="L86">
        <v>0.98</v>
      </c>
      <c r="M86">
        <v>0.06</v>
      </c>
      <c r="N86">
        <v>0</v>
      </c>
      <c r="O86">
        <v>-0.28999999999999998</v>
      </c>
      <c r="P86">
        <v>-0.42</v>
      </c>
      <c r="Q86">
        <v>0</v>
      </c>
      <c r="R86">
        <v>0</v>
      </c>
      <c r="S86">
        <v>0.48</v>
      </c>
      <c r="T86">
        <v>0.46</v>
      </c>
      <c r="U86">
        <v>0.23</v>
      </c>
      <c r="V86">
        <v>2.42</v>
      </c>
      <c r="W86">
        <v>0</v>
      </c>
      <c r="X86">
        <v>80.48</v>
      </c>
      <c r="Y86">
        <v>542122.83100000001</v>
      </c>
      <c r="Z86" s="254">
        <f t="shared" si="1"/>
        <v>12</v>
      </c>
    </row>
    <row r="87" spans="2:26" hidden="1" x14ac:dyDescent="0.25">
      <c r="B87" t="s">
        <v>284</v>
      </c>
      <c r="C87">
        <v>4002</v>
      </c>
      <c r="D87" t="s">
        <v>290</v>
      </c>
      <c r="E87" s="130">
        <v>45322</v>
      </c>
      <c r="F87" t="s">
        <v>286</v>
      </c>
      <c r="G87">
        <v>31.78</v>
      </c>
      <c r="H87">
        <v>6.19</v>
      </c>
      <c r="I87">
        <v>0.5</v>
      </c>
      <c r="J87">
        <v>0.05</v>
      </c>
      <c r="K87">
        <v>0.13</v>
      </c>
      <c r="L87">
        <v>0.54</v>
      </c>
      <c r="M87">
        <v>0.03</v>
      </c>
      <c r="N87">
        <v>0</v>
      </c>
      <c r="O87">
        <v>-0.16</v>
      </c>
      <c r="P87">
        <v>-0.45</v>
      </c>
      <c r="Q87">
        <v>0</v>
      </c>
      <c r="R87">
        <v>0</v>
      </c>
      <c r="S87">
        <v>0.48</v>
      </c>
      <c r="T87">
        <v>0.49</v>
      </c>
      <c r="U87">
        <v>0.23</v>
      </c>
      <c r="V87">
        <v>2.64</v>
      </c>
      <c r="W87">
        <v>0</v>
      </c>
      <c r="X87">
        <v>42.43</v>
      </c>
      <c r="Y87">
        <v>924910.83100000001</v>
      </c>
      <c r="Z87" s="254">
        <f t="shared" si="1"/>
        <v>1</v>
      </c>
    </row>
    <row r="88" spans="2:26" hidden="1" x14ac:dyDescent="0.25">
      <c r="B88" t="s">
        <v>284</v>
      </c>
      <c r="C88">
        <v>4002</v>
      </c>
      <c r="D88" t="s">
        <v>290</v>
      </c>
      <c r="E88" s="130">
        <v>45322</v>
      </c>
      <c r="F88" t="s">
        <v>287</v>
      </c>
      <c r="G88">
        <v>30.17</v>
      </c>
      <c r="H88">
        <v>6.19</v>
      </c>
      <c r="I88">
        <v>0.55000000000000004</v>
      </c>
      <c r="J88">
        <v>0.05</v>
      </c>
      <c r="K88">
        <v>0.12</v>
      </c>
      <c r="L88">
        <v>0</v>
      </c>
      <c r="M88">
        <v>0.02</v>
      </c>
      <c r="N88">
        <v>0</v>
      </c>
      <c r="O88">
        <v>-0.14000000000000001</v>
      </c>
      <c r="P88">
        <v>-0.45</v>
      </c>
      <c r="Q88">
        <v>0</v>
      </c>
      <c r="R88">
        <v>0</v>
      </c>
      <c r="S88">
        <v>0.48</v>
      </c>
      <c r="T88">
        <v>0.49</v>
      </c>
      <c r="U88">
        <v>0.23</v>
      </c>
      <c r="V88">
        <v>2.68</v>
      </c>
      <c r="W88">
        <v>0</v>
      </c>
      <c r="X88">
        <v>40.39</v>
      </c>
      <c r="Y88">
        <v>444174.34899999999</v>
      </c>
      <c r="Z88" s="254">
        <f t="shared" si="1"/>
        <v>1</v>
      </c>
    </row>
    <row r="89" spans="2:26" hidden="1" x14ac:dyDescent="0.25">
      <c r="B89" t="s">
        <v>284</v>
      </c>
      <c r="C89">
        <v>4002</v>
      </c>
      <c r="D89" t="s">
        <v>290</v>
      </c>
      <c r="E89" s="130">
        <v>45322</v>
      </c>
      <c r="F89" t="s">
        <v>288</v>
      </c>
      <c r="G89">
        <v>33.49</v>
      </c>
      <c r="H89">
        <v>6.19</v>
      </c>
      <c r="I89">
        <v>0.45</v>
      </c>
      <c r="J89">
        <v>0.04</v>
      </c>
      <c r="K89">
        <v>0.14000000000000001</v>
      </c>
      <c r="L89">
        <v>1.1100000000000001</v>
      </c>
      <c r="M89">
        <v>0.03</v>
      </c>
      <c r="N89">
        <v>0</v>
      </c>
      <c r="O89">
        <v>-0.19</v>
      </c>
      <c r="P89">
        <v>-0.45</v>
      </c>
      <c r="Q89">
        <v>0</v>
      </c>
      <c r="R89">
        <v>0</v>
      </c>
      <c r="S89">
        <v>0.48</v>
      </c>
      <c r="T89">
        <v>0.49</v>
      </c>
      <c r="U89">
        <v>0.23</v>
      </c>
      <c r="V89">
        <v>2.59</v>
      </c>
      <c r="W89">
        <v>0</v>
      </c>
      <c r="X89">
        <v>44.63</v>
      </c>
      <c r="Y89">
        <v>480736.48200000002</v>
      </c>
      <c r="Z89" s="254">
        <f t="shared" si="1"/>
        <v>1</v>
      </c>
    </row>
    <row r="90" spans="2:26" hidden="1" x14ac:dyDescent="0.25">
      <c r="B90" t="s">
        <v>284</v>
      </c>
      <c r="C90">
        <v>4002</v>
      </c>
      <c r="D90" t="s">
        <v>290</v>
      </c>
      <c r="E90" s="130">
        <v>45351</v>
      </c>
      <c r="F90" t="s">
        <v>286</v>
      </c>
      <c r="G90">
        <v>23.08</v>
      </c>
      <c r="H90">
        <v>6.34</v>
      </c>
      <c r="I90">
        <v>0.41</v>
      </c>
      <c r="J90">
        <v>0.05</v>
      </c>
      <c r="K90">
        <v>0.1</v>
      </c>
      <c r="L90">
        <v>0.55000000000000004</v>
      </c>
      <c r="M90">
        <v>0.02</v>
      </c>
      <c r="N90">
        <v>-0.01</v>
      </c>
      <c r="O90">
        <v>-0.06</v>
      </c>
      <c r="P90">
        <v>-0.15</v>
      </c>
      <c r="Q90">
        <v>0</v>
      </c>
      <c r="R90">
        <v>0</v>
      </c>
      <c r="S90">
        <v>0.48</v>
      </c>
      <c r="T90">
        <v>0.46</v>
      </c>
      <c r="U90">
        <v>0.23</v>
      </c>
      <c r="V90">
        <v>0</v>
      </c>
      <c r="W90">
        <v>0</v>
      </c>
      <c r="X90">
        <v>31.51</v>
      </c>
      <c r="Y90">
        <v>911677.33100000001</v>
      </c>
      <c r="Z90" s="254">
        <f t="shared" si="1"/>
        <v>2</v>
      </c>
    </row>
    <row r="91" spans="2:26" hidden="1" x14ac:dyDescent="0.25">
      <c r="B91" t="s">
        <v>284</v>
      </c>
      <c r="C91">
        <v>4002</v>
      </c>
      <c r="D91" t="s">
        <v>290</v>
      </c>
      <c r="E91" s="130">
        <v>45351</v>
      </c>
      <c r="F91" t="s">
        <v>287</v>
      </c>
      <c r="G91">
        <v>22.1</v>
      </c>
      <c r="H91">
        <v>6.34</v>
      </c>
      <c r="I91">
        <v>0.34</v>
      </c>
      <c r="J91">
        <v>0.04</v>
      </c>
      <c r="K91">
        <v>0.1</v>
      </c>
      <c r="L91">
        <v>0</v>
      </c>
      <c r="M91">
        <v>0.02</v>
      </c>
      <c r="N91">
        <v>0</v>
      </c>
      <c r="O91">
        <v>-0.04</v>
      </c>
      <c r="P91">
        <v>-0.15</v>
      </c>
      <c r="Q91">
        <v>0</v>
      </c>
      <c r="R91">
        <v>0</v>
      </c>
      <c r="S91">
        <v>0.48</v>
      </c>
      <c r="T91">
        <v>0.46</v>
      </c>
      <c r="U91">
        <v>0.23</v>
      </c>
      <c r="V91">
        <v>0</v>
      </c>
      <c r="W91">
        <v>0</v>
      </c>
      <c r="X91">
        <v>29.91</v>
      </c>
      <c r="Y91">
        <v>462238.74200000003</v>
      </c>
      <c r="Z91" s="254">
        <f t="shared" si="1"/>
        <v>2</v>
      </c>
    </row>
    <row r="92" spans="2:26" hidden="1" x14ac:dyDescent="0.25">
      <c r="B92" t="s">
        <v>284</v>
      </c>
      <c r="C92">
        <v>4002</v>
      </c>
      <c r="D92" t="s">
        <v>290</v>
      </c>
      <c r="E92" s="130">
        <v>45351</v>
      </c>
      <c r="F92" t="s">
        <v>288</v>
      </c>
      <c r="G92">
        <v>24.28</v>
      </c>
      <c r="H92">
        <v>6.34</v>
      </c>
      <c r="I92">
        <v>0.5</v>
      </c>
      <c r="J92">
        <v>0.05</v>
      </c>
      <c r="K92">
        <v>0.1</v>
      </c>
      <c r="L92">
        <v>1.21</v>
      </c>
      <c r="M92">
        <v>0.02</v>
      </c>
      <c r="N92">
        <v>-0.01</v>
      </c>
      <c r="O92">
        <v>-7.0000000000000007E-2</v>
      </c>
      <c r="P92">
        <v>-0.15</v>
      </c>
      <c r="Q92">
        <v>0</v>
      </c>
      <c r="R92">
        <v>0</v>
      </c>
      <c r="S92">
        <v>0.48</v>
      </c>
      <c r="T92">
        <v>0.46</v>
      </c>
      <c r="U92">
        <v>0.23</v>
      </c>
      <c r="V92">
        <v>0</v>
      </c>
      <c r="W92">
        <v>0</v>
      </c>
      <c r="X92">
        <v>33.44</v>
      </c>
      <c r="Y92">
        <v>449438.58899999998</v>
      </c>
      <c r="Z92" s="254">
        <f t="shared" si="1"/>
        <v>2</v>
      </c>
    </row>
    <row r="93" spans="2:26" hidden="1" x14ac:dyDescent="0.25">
      <c r="B93" t="s">
        <v>284</v>
      </c>
      <c r="C93">
        <v>4002</v>
      </c>
      <c r="D93" t="s">
        <v>290</v>
      </c>
      <c r="E93" s="130">
        <v>45382</v>
      </c>
      <c r="F93" t="s">
        <v>286</v>
      </c>
      <c r="G93">
        <v>24.46</v>
      </c>
      <c r="H93">
        <v>7.26</v>
      </c>
      <c r="I93">
        <v>0.54</v>
      </c>
      <c r="J93">
        <v>0.06</v>
      </c>
      <c r="K93">
        <v>0.1</v>
      </c>
      <c r="L93">
        <v>0.55000000000000004</v>
      </c>
      <c r="M93">
        <v>0.02</v>
      </c>
      <c r="N93">
        <v>0</v>
      </c>
      <c r="O93">
        <v>-0.02</v>
      </c>
      <c r="P93">
        <v>-0.14000000000000001</v>
      </c>
      <c r="Q93">
        <v>0</v>
      </c>
      <c r="R93">
        <v>0</v>
      </c>
      <c r="S93">
        <v>0.48</v>
      </c>
      <c r="T93">
        <v>0.47</v>
      </c>
      <c r="U93">
        <v>0.23</v>
      </c>
      <c r="V93">
        <v>0</v>
      </c>
      <c r="W93">
        <v>0</v>
      </c>
      <c r="X93">
        <v>34.03</v>
      </c>
      <c r="Y93">
        <v>818215.723</v>
      </c>
      <c r="Z93" s="254">
        <f t="shared" si="1"/>
        <v>3</v>
      </c>
    </row>
    <row r="94" spans="2:26" hidden="1" x14ac:dyDescent="0.25">
      <c r="B94" t="s">
        <v>284</v>
      </c>
      <c r="C94">
        <v>4002</v>
      </c>
      <c r="D94" t="s">
        <v>290</v>
      </c>
      <c r="E94" s="130">
        <v>45382</v>
      </c>
      <c r="F94" t="s">
        <v>287</v>
      </c>
      <c r="G94">
        <v>23.51</v>
      </c>
      <c r="H94">
        <v>7.26</v>
      </c>
      <c r="I94">
        <v>0.59</v>
      </c>
      <c r="J94">
        <v>0.06</v>
      </c>
      <c r="K94">
        <v>7.0000000000000007E-2</v>
      </c>
      <c r="L94">
        <v>0</v>
      </c>
      <c r="M94">
        <v>0.03</v>
      </c>
      <c r="N94">
        <v>0</v>
      </c>
      <c r="O94">
        <v>0</v>
      </c>
      <c r="P94">
        <v>-0.14000000000000001</v>
      </c>
      <c r="Q94">
        <v>0</v>
      </c>
      <c r="R94">
        <v>0</v>
      </c>
      <c r="S94">
        <v>0.48</v>
      </c>
      <c r="T94">
        <v>0.47</v>
      </c>
      <c r="U94">
        <v>0.23</v>
      </c>
      <c r="V94">
        <v>0</v>
      </c>
      <c r="W94">
        <v>0</v>
      </c>
      <c r="X94">
        <v>32.56</v>
      </c>
      <c r="Y94">
        <v>383064.75</v>
      </c>
      <c r="Z94" s="254">
        <f t="shared" si="1"/>
        <v>3</v>
      </c>
    </row>
    <row r="95" spans="2:26" hidden="1" x14ac:dyDescent="0.25">
      <c r="B95" t="s">
        <v>284</v>
      </c>
      <c r="C95">
        <v>4002</v>
      </c>
      <c r="D95" t="s">
        <v>290</v>
      </c>
      <c r="E95" s="130">
        <v>45382</v>
      </c>
      <c r="F95" t="s">
        <v>288</v>
      </c>
      <c r="G95">
        <v>25.46</v>
      </c>
      <c r="H95">
        <v>7.26</v>
      </c>
      <c r="I95">
        <v>0.5</v>
      </c>
      <c r="J95">
        <v>0.06</v>
      </c>
      <c r="K95">
        <v>0.13</v>
      </c>
      <c r="L95">
        <v>1.1299999999999999</v>
      </c>
      <c r="M95">
        <v>0.02</v>
      </c>
      <c r="N95">
        <v>0</v>
      </c>
      <c r="O95">
        <v>-0.03</v>
      </c>
      <c r="P95">
        <v>-0.14000000000000001</v>
      </c>
      <c r="Q95">
        <v>0</v>
      </c>
      <c r="R95">
        <v>0</v>
      </c>
      <c r="S95">
        <v>0.48</v>
      </c>
      <c r="T95">
        <v>0.47</v>
      </c>
      <c r="U95">
        <v>0.23</v>
      </c>
      <c r="V95">
        <v>0</v>
      </c>
      <c r="W95">
        <v>0</v>
      </c>
      <c r="X95">
        <v>35.56</v>
      </c>
      <c r="Y95">
        <v>435150.973</v>
      </c>
      <c r="Z95" s="254">
        <f t="shared" si="1"/>
        <v>3</v>
      </c>
    </row>
    <row r="96" spans="2:26" hidden="1" x14ac:dyDescent="0.25">
      <c r="B96" t="s">
        <v>284</v>
      </c>
      <c r="C96">
        <v>4002</v>
      </c>
      <c r="D96" t="s">
        <v>290</v>
      </c>
      <c r="E96" s="130">
        <v>45412</v>
      </c>
      <c r="F96" t="s">
        <v>286</v>
      </c>
      <c r="G96">
        <v>26.33</v>
      </c>
      <c r="H96">
        <v>7.08</v>
      </c>
      <c r="I96">
        <v>0.5</v>
      </c>
      <c r="J96">
        <v>0.06</v>
      </c>
      <c r="K96">
        <v>7.0000000000000007E-2</v>
      </c>
      <c r="L96">
        <v>0.56000000000000005</v>
      </c>
      <c r="M96">
        <v>0.02</v>
      </c>
      <c r="N96">
        <v>0</v>
      </c>
      <c r="O96">
        <v>-0.06</v>
      </c>
      <c r="P96">
        <v>-0.1</v>
      </c>
      <c r="Q96">
        <v>0</v>
      </c>
      <c r="R96">
        <v>0</v>
      </c>
      <c r="S96">
        <v>0.48</v>
      </c>
      <c r="T96">
        <v>0.46</v>
      </c>
      <c r="U96">
        <v>0.23</v>
      </c>
      <c r="V96">
        <v>0</v>
      </c>
      <c r="W96">
        <v>0</v>
      </c>
      <c r="X96">
        <v>35.630000000000003</v>
      </c>
      <c r="Y96">
        <v>856337.12899999996</v>
      </c>
      <c r="Z96" s="254">
        <f t="shared" si="1"/>
        <v>4</v>
      </c>
    </row>
    <row r="97" spans="2:26" hidden="1" x14ac:dyDescent="0.25">
      <c r="B97" t="s">
        <v>284</v>
      </c>
      <c r="C97">
        <v>4002</v>
      </c>
      <c r="D97" t="s">
        <v>290</v>
      </c>
      <c r="E97" s="130">
        <v>45412</v>
      </c>
      <c r="F97" t="s">
        <v>287</v>
      </c>
      <c r="G97">
        <v>25.1</v>
      </c>
      <c r="H97">
        <v>7.08</v>
      </c>
      <c r="I97">
        <v>0.61</v>
      </c>
      <c r="J97">
        <v>0.06</v>
      </c>
      <c r="K97">
        <v>0.06</v>
      </c>
      <c r="L97">
        <v>0</v>
      </c>
      <c r="M97">
        <v>0.03</v>
      </c>
      <c r="N97">
        <v>0</v>
      </c>
      <c r="O97">
        <v>-0.04</v>
      </c>
      <c r="P97">
        <v>-0.1</v>
      </c>
      <c r="Q97">
        <v>0</v>
      </c>
      <c r="R97">
        <v>0</v>
      </c>
      <c r="S97">
        <v>0.48</v>
      </c>
      <c r="T97">
        <v>0.46</v>
      </c>
      <c r="U97">
        <v>0.23</v>
      </c>
      <c r="V97">
        <v>0</v>
      </c>
      <c r="W97">
        <v>0</v>
      </c>
      <c r="X97">
        <v>33.96</v>
      </c>
      <c r="Y97">
        <v>403370.804</v>
      </c>
      <c r="Z97" s="254">
        <f t="shared" si="1"/>
        <v>4</v>
      </c>
    </row>
    <row r="98" spans="2:26" hidden="1" x14ac:dyDescent="0.25">
      <c r="B98" t="s">
        <v>284</v>
      </c>
      <c r="C98">
        <v>4002</v>
      </c>
      <c r="D98" t="s">
        <v>290</v>
      </c>
      <c r="E98" s="130">
        <v>45412</v>
      </c>
      <c r="F98" t="s">
        <v>288</v>
      </c>
      <c r="G98">
        <v>27.7</v>
      </c>
      <c r="H98">
        <v>7.08</v>
      </c>
      <c r="I98">
        <v>0.38</v>
      </c>
      <c r="J98">
        <v>0.05</v>
      </c>
      <c r="K98">
        <v>0.08</v>
      </c>
      <c r="L98">
        <v>1.19</v>
      </c>
      <c r="M98">
        <v>0.01</v>
      </c>
      <c r="N98">
        <v>0</v>
      </c>
      <c r="O98">
        <v>-0.08</v>
      </c>
      <c r="P98">
        <v>-0.1</v>
      </c>
      <c r="Q98">
        <v>0</v>
      </c>
      <c r="R98">
        <v>0</v>
      </c>
      <c r="S98">
        <v>0.48</v>
      </c>
      <c r="T98">
        <v>0.46</v>
      </c>
      <c r="U98">
        <v>0.23</v>
      </c>
      <c r="V98">
        <v>0</v>
      </c>
      <c r="W98">
        <v>0</v>
      </c>
      <c r="X98">
        <v>37.479999999999997</v>
      </c>
      <c r="Y98">
        <v>452966.32500000001</v>
      </c>
      <c r="Z98" s="254">
        <f t="shared" si="1"/>
        <v>4</v>
      </c>
    </row>
    <row r="99" spans="2:26" hidden="1" x14ac:dyDescent="0.25">
      <c r="B99" t="s">
        <v>284</v>
      </c>
      <c r="C99">
        <v>4002</v>
      </c>
      <c r="D99" t="s">
        <v>290</v>
      </c>
      <c r="E99" s="130">
        <v>45443</v>
      </c>
      <c r="F99" t="s">
        <v>286</v>
      </c>
      <c r="G99">
        <v>31.07</v>
      </c>
      <c r="H99">
        <v>7.06</v>
      </c>
      <c r="I99">
        <v>0.67</v>
      </c>
      <c r="J99">
        <v>7.0000000000000007E-2</v>
      </c>
      <c r="K99">
        <v>0.09</v>
      </c>
      <c r="L99">
        <v>0.53</v>
      </c>
      <c r="M99">
        <v>0.11</v>
      </c>
      <c r="N99">
        <v>0</v>
      </c>
      <c r="O99">
        <v>-0.14000000000000001</v>
      </c>
      <c r="P99">
        <v>-0.09</v>
      </c>
      <c r="Q99">
        <v>-0.01</v>
      </c>
      <c r="R99">
        <v>0</v>
      </c>
      <c r="S99">
        <v>0.48</v>
      </c>
      <c r="T99">
        <v>0.47</v>
      </c>
      <c r="U99">
        <v>0.23</v>
      </c>
      <c r="V99">
        <v>0</v>
      </c>
      <c r="W99">
        <v>0</v>
      </c>
      <c r="X99">
        <v>40.549999999999997</v>
      </c>
      <c r="Y99">
        <v>979602.23699999996</v>
      </c>
      <c r="Z99" s="254">
        <f t="shared" si="1"/>
        <v>5</v>
      </c>
    </row>
    <row r="100" spans="2:26" hidden="1" x14ac:dyDescent="0.25">
      <c r="B100" t="s">
        <v>284</v>
      </c>
      <c r="C100">
        <v>4002</v>
      </c>
      <c r="D100" t="s">
        <v>290</v>
      </c>
      <c r="E100" s="130">
        <v>45443</v>
      </c>
      <c r="F100" t="s">
        <v>287</v>
      </c>
      <c r="G100">
        <v>25.33</v>
      </c>
      <c r="H100">
        <v>7.06</v>
      </c>
      <c r="I100">
        <v>0.54</v>
      </c>
      <c r="J100">
        <v>0.06</v>
      </c>
      <c r="K100">
        <v>0.09</v>
      </c>
      <c r="L100">
        <v>0</v>
      </c>
      <c r="M100">
        <v>0.01</v>
      </c>
      <c r="N100">
        <v>-0.01</v>
      </c>
      <c r="O100">
        <v>-0.11</v>
      </c>
      <c r="P100">
        <v>-0.09</v>
      </c>
      <c r="Q100">
        <v>0</v>
      </c>
      <c r="R100">
        <v>0</v>
      </c>
      <c r="S100">
        <v>0.48</v>
      </c>
      <c r="T100">
        <v>0.47</v>
      </c>
      <c r="U100">
        <v>0.23</v>
      </c>
      <c r="V100">
        <v>0</v>
      </c>
      <c r="W100">
        <v>0</v>
      </c>
      <c r="X100">
        <v>34.049999999999997</v>
      </c>
      <c r="Y100">
        <v>470070.054</v>
      </c>
      <c r="Z100" s="254">
        <f t="shared" si="1"/>
        <v>5</v>
      </c>
    </row>
    <row r="101" spans="2:26" hidden="1" x14ac:dyDescent="0.25">
      <c r="B101" t="s">
        <v>284</v>
      </c>
      <c r="C101">
        <v>4002</v>
      </c>
      <c r="D101" t="s">
        <v>290</v>
      </c>
      <c r="E101" s="130">
        <v>45443</v>
      </c>
      <c r="F101" t="s">
        <v>288</v>
      </c>
      <c r="G101">
        <v>38.25</v>
      </c>
      <c r="H101">
        <v>7.06</v>
      </c>
      <c r="I101">
        <v>0.84</v>
      </c>
      <c r="J101">
        <v>0.09</v>
      </c>
      <c r="K101">
        <v>0.1</v>
      </c>
      <c r="L101">
        <v>1.19</v>
      </c>
      <c r="M101">
        <v>0.24</v>
      </c>
      <c r="N101">
        <v>0</v>
      </c>
      <c r="O101">
        <v>-0.17</v>
      </c>
      <c r="P101">
        <v>-0.09</v>
      </c>
      <c r="Q101">
        <v>-0.02</v>
      </c>
      <c r="R101">
        <v>0</v>
      </c>
      <c r="S101">
        <v>0.48</v>
      </c>
      <c r="T101">
        <v>0.47</v>
      </c>
      <c r="U101">
        <v>0.23</v>
      </c>
      <c r="V101">
        <v>0</v>
      </c>
      <c r="W101">
        <v>0</v>
      </c>
      <c r="X101">
        <v>48.66</v>
      </c>
      <c r="Y101">
        <v>509532.18300000002</v>
      </c>
      <c r="Z101" s="254">
        <f t="shared" si="1"/>
        <v>5</v>
      </c>
    </row>
    <row r="102" spans="2:26" hidden="1" x14ac:dyDescent="0.25">
      <c r="B102" t="s">
        <v>284</v>
      </c>
      <c r="C102">
        <v>4002</v>
      </c>
      <c r="D102" t="s">
        <v>290</v>
      </c>
      <c r="E102" s="130">
        <v>45473</v>
      </c>
      <c r="F102" t="s">
        <v>286</v>
      </c>
      <c r="G102">
        <v>43.3</v>
      </c>
      <c r="H102">
        <v>5.8</v>
      </c>
      <c r="I102">
        <v>2.0499999999999998</v>
      </c>
      <c r="J102">
        <v>0.1</v>
      </c>
      <c r="K102">
        <v>0.2</v>
      </c>
      <c r="L102">
        <v>0.46</v>
      </c>
      <c r="M102">
        <v>0.36</v>
      </c>
      <c r="N102">
        <v>-0.01</v>
      </c>
      <c r="O102">
        <v>-0.33</v>
      </c>
      <c r="P102">
        <v>-0.11</v>
      </c>
      <c r="Q102">
        <v>0</v>
      </c>
      <c r="R102">
        <v>0</v>
      </c>
      <c r="S102">
        <v>0.48</v>
      </c>
      <c r="T102">
        <v>0.46</v>
      </c>
      <c r="U102">
        <v>0.23</v>
      </c>
      <c r="V102">
        <v>0</v>
      </c>
      <c r="W102">
        <v>0</v>
      </c>
      <c r="X102">
        <v>53</v>
      </c>
      <c r="Y102">
        <v>1201430.6529999999</v>
      </c>
      <c r="Z102" s="254">
        <f t="shared" si="1"/>
        <v>6</v>
      </c>
    </row>
    <row r="103" spans="2:26" hidden="1" x14ac:dyDescent="0.25">
      <c r="B103" t="s">
        <v>284</v>
      </c>
      <c r="C103">
        <v>4002</v>
      </c>
      <c r="D103" t="s">
        <v>290</v>
      </c>
      <c r="E103" s="130">
        <v>45473</v>
      </c>
      <c r="F103" t="s">
        <v>287</v>
      </c>
      <c r="G103">
        <v>35.61</v>
      </c>
      <c r="H103">
        <v>5.8</v>
      </c>
      <c r="I103">
        <v>1.79</v>
      </c>
      <c r="J103">
        <v>0.09</v>
      </c>
      <c r="K103">
        <v>0.16</v>
      </c>
      <c r="L103">
        <v>0</v>
      </c>
      <c r="M103">
        <v>0.18</v>
      </c>
      <c r="N103">
        <v>-0.01</v>
      </c>
      <c r="O103">
        <v>-0.23</v>
      </c>
      <c r="P103">
        <v>-0.11</v>
      </c>
      <c r="Q103">
        <v>0</v>
      </c>
      <c r="R103">
        <v>0</v>
      </c>
      <c r="S103">
        <v>0.48</v>
      </c>
      <c r="T103">
        <v>0.46</v>
      </c>
      <c r="U103">
        <v>0.23</v>
      </c>
      <c r="V103">
        <v>0</v>
      </c>
      <c r="W103">
        <v>0</v>
      </c>
      <c r="X103">
        <v>44.46</v>
      </c>
      <c r="Y103">
        <v>561124.01300000004</v>
      </c>
      <c r="Z103" s="254">
        <f t="shared" si="1"/>
        <v>6</v>
      </c>
    </row>
    <row r="104" spans="2:26" hidden="1" x14ac:dyDescent="0.25">
      <c r="B104" t="s">
        <v>284</v>
      </c>
      <c r="C104">
        <v>4002</v>
      </c>
      <c r="D104" t="s">
        <v>290</v>
      </c>
      <c r="E104" s="130">
        <v>45473</v>
      </c>
      <c r="F104" t="s">
        <v>288</v>
      </c>
      <c r="G104">
        <v>51.86</v>
      </c>
      <c r="H104">
        <v>5.8</v>
      </c>
      <c r="I104">
        <v>2.35</v>
      </c>
      <c r="J104">
        <v>0.11</v>
      </c>
      <c r="K104">
        <v>0.25</v>
      </c>
      <c r="L104">
        <v>0.98</v>
      </c>
      <c r="M104">
        <v>0.56000000000000005</v>
      </c>
      <c r="N104">
        <v>-0.02</v>
      </c>
      <c r="O104">
        <v>-0.43</v>
      </c>
      <c r="P104">
        <v>-0.11</v>
      </c>
      <c r="Q104">
        <v>0</v>
      </c>
      <c r="R104">
        <v>0</v>
      </c>
      <c r="S104">
        <v>0.48</v>
      </c>
      <c r="T104">
        <v>0.46</v>
      </c>
      <c r="U104">
        <v>0.23</v>
      </c>
      <c r="V104">
        <v>0</v>
      </c>
      <c r="W104">
        <v>0</v>
      </c>
      <c r="X104">
        <v>62.52</v>
      </c>
      <c r="Y104">
        <v>640306.64</v>
      </c>
      <c r="Z104" s="254">
        <f t="shared" si="1"/>
        <v>6</v>
      </c>
    </row>
    <row r="105" spans="2:26" hidden="1" x14ac:dyDescent="0.25">
      <c r="B105" t="s">
        <v>284</v>
      </c>
      <c r="C105">
        <v>4002</v>
      </c>
      <c r="D105" t="s">
        <v>290</v>
      </c>
      <c r="E105" s="130">
        <v>45504</v>
      </c>
      <c r="F105" t="s">
        <v>286</v>
      </c>
      <c r="G105">
        <v>38.85</v>
      </c>
      <c r="H105">
        <v>6.6</v>
      </c>
      <c r="I105">
        <v>0.81</v>
      </c>
      <c r="J105">
        <v>7.0000000000000007E-2</v>
      </c>
      <c r="K105">
        <v>0.21</v>
      </c>
      <c r="L105">
        <v>0.53</v>
      </c>
      <c r="M105">
        <v>0.32</v>
      </c>
      <c r="N105">
        <v>0.01</v>
      </c>
      <c r="O105">
        <v>-0.11</v>
      </c>
      <c r="P105">
        <v>-0.11</v>
      </c>
      <c r="Q105">
        <v>-0.01</v>
      </c>
      <c r="R105">
        <v>0</v>
      </c>
      <c r="S105">
        <v>0.48</v>
      </c>
      <c r="T105">
        <v>0.46</v>
      </c>
      <c r="U105">
        <v>0.23</v>
      </c>
      <c r="V105">
        <v>0</v>
      </c>
      <c r="W105">
        <v>0</v>
      </c>
      <c r="X105">
        <v>48.36</v>
      </c>
      <c r="Y105">
        <v>1034521.824</v>
      </c>
      <c r="Z105" s="254">
        <f t="shared" si="1"/>
        <v>7</v>
      </c>
    </row>
    <row r="106" spans="2:26" hidden="1" x14ac:dyDescent="0.25">
      <c r="B106" t="s">
        <v>284</v>
      </c>
      <c r="C106">
        <v>4002</v>
      </c>
      <c r="D106" t="s">
        <v>290</v>
      </c>
      <c r="E106" s="130">
        <v>45504</v>
      </c>
      <c r="F106" t="s">
        <v>287</v>
      </c>
      <c r="G106">
        <v>29.16</v>
      </c>
      <c r="H106">
        <v>6.6</v>
      </c>
      <c r="I106">
        <v>0.68</v>
      </c>
      <c r="J106">
        <v>0.06</v>
      </c>
      <c r="K106">
        <v>0.14000000000000001</v>
      </c>
      <c r="L106">
        <v>0</v>
      </c>
      <c r="M106">
        <v>0.01</v>
      </c>
      <c r="N106">
        <v>0.01</v>
      </c>
      <c r="O106">
        <v>-0.14000000000000001</v>
      </c>
      <c r="P106">
        <v>-0.11</v>
      </c>
      <c r="Q106">
        <v>0</v>
      </c>
      <c r="R106">
        <v>0</v>
      </c>
      <c r="S106">
        <v>0.48</v>
      </c>
      <c r="T106">
        <v>0.46</v>
      </c>
      <c r="U106">
        <v>0.23</v>
      </c>
      <c r="V106">
        <v>0</v>
      </c>
      <c r="W106">
        <v>0</v>
      </c>
      <c r="X106">
        <v>37.58</v>
      </c>
      <c r="Y106">
        <v>494123.32299999997</v>
      </c>
      <c r="Z106" s="254">
        <f t="shared" si="1"/>
        <v>7</v>
      </c>
    </row>
    <row r="107" spans="2:26" hidden="1" x14ac:dyDescent="0.25">
      <c r="B107" t="s">
        <v>284</v>
      </c>
      <c r="C107">
        <v>4002</v>
      </c>
      <c r="D107" t="s">
        <v>290</v>
      </c>
      <c r="E107" s="130">
        <v>45504</v>
      </c>
      <c r="F107" t="s">
        <v>288</v>
      </c>
      <c r="G107">
        <v>49.65</v>
      </c>
      <c r="H107">
        <v>6.6</v>
      </c>
      <c r="I107">
        <v>0.97</v>
      </c>
      <c r="J107">
        <v>0.09</v>
      </c>
      <c r="K107">
        <v>0.3</v>
      </c>
      <c r="L107">
        <v>1.1299999999999999</v>
      </c>
      <c r="M107">
        <v>0.66</v>
      </c>
      <c r="N107">
        <v>0.01</v>
      </c>
      <c r="O107">
        <v>-0.08</v>
      </c>
      <c r="P107">
        <v>-0.11</v>
      </c>
      <c r="Q107">
        <v>-0.01</v>
      </c>
      <c r="R107">
        <v>0</v>
      </c>
      <c r="S107">
        <v>0.48</v>
      </c>
      <c r="T107">
        <v>0.46</v>
      </c>
      <c r="U107">
        <v>0.23</v>
      </c>
      <c r="V107">
        <v>0</v>
      </c>
      <c r="W107">
        <v>0</v>
      </c>
      <c r="X107">
        <v>60.36</v>
      </c>
      <c r="Y107">
        <v>540398.50100000005</v>
      </c>
      <c r="Z107" s="254">
        <f t="shared" si="1"/>
        <v>7</v>
      </c>
    </row>
    <row r="108" spans="2:26" hidden="1" x14ac:dyDescent="0.25">
      <c r="B108" t="s">
        <v>284</v>
      </c>
      <c r="C108">
        <v>4002</v>
      </c>
      <c r="D108" t="s">
        <v>290</v>
      </c>
      <c r="E108" s="130">
        <v>45535</v>
      </c>
      <c r="F108" t="s">
        <v>286</v>
      </c>
      <c r="G108">
        <v>32.22</v>
      </c>
      <c r="H108">
        <v>7.88</v>
      </c>
      <c r="I108">
        <v>0.54</v>
      </c>
      <c r="J108">
        <v>0.06</v>
      </c>
      <c r="K108">
        <v>0.09</v>
      </c>
      <c r="L108">
        <v>0.65</v>
      </c>
      <c r="M108">
        <v>0.02</v>
      </c>
      <c r="N108">
        <v>0</v>
      </c>
      <c r="O108">
        <v>-0.1</v>
      </c>
      <c r="P108">
        <v>-0.14000000000000001</v>
      </c>
      <c r="Q108">
        <v>0</v>
      </c>
      <c r="R108">
        <v>0</v>
      </c>
      <c r="S108">
        <v>0.48</v>
      </c>
      <c r="T108">
        <v>0.47</v>
      </c>
      <c r="U108">
        <v>0.23</v>
      </c>
      <c r="V108">
        <v>0</v>
      </c>
      <c r="W108">
        <v>0</v>
      </c>
      <c r="X108">
        <v>42.4</v>
      </c>
      <c r="Y108">
        <v>855575.20700000005</v>
      </c>
      <c r="Z108" s="254">
        <f t="shared" si="1"/>
        <v>8</v>
      </c>
    </row>
    <row r="109" spans="2:26" hidden="1" x14ac:dyDescent="0.25">
      <c r="B109" t="s">
        <v>284</v>
      </c>
      <c r="C109">
        <v>4002</v>
      </c>
      <c r="D109" t="s">
        <v>290</v>
      </c>
      <c r="E109" s="130">
        <v>45535</v>
      </c>
      <c r="F109" t="s">
        <v>287</v>
      </c>
      <c r="G109">
        <v>29.71</v>
      </c>
      <c r="H109">
        <v>7.88</v>
      </c>
      <c r="I109">
        <v>0.56000000000000005</v>
      </c>
      <c r="J109">
        <v>0.06</v>
      </c>
      <c r="K109">
        <v>7.0000000000000007E-2</v>
      </c>
      <c r="L109">
        <v>0</v>
      </c>
      <c r="M109">
        <v>0.02</v>
      </c>
      <c r="N109">
        <v>0</v>
      </c>
      <c r="O109">
        <v>-0.12</v>
      </c>
      <c r="P109">
        <v>-0.14000000000000001</v>
      </c>
      <c r="Q109">
        <v>0</v>
      </c>
      <c r="R109">
        <v>0</v>
      </c>
      <c r="S109">
        <v>0.48</v>
      </c>
      <c r="T109">
        <v>0.47</v>
      </c>
      <c r="U109">
        <v>0.23</v>
      </c>
      <c r="V109">
        <v>0</v>
      </c>
      <c r="W109">
        <v>0</v>
      </c>
      <c r="X109">
        <v>39.229999999999997</v>
      </c>
      <c r="Y109">
        <v>432912.12099999998</v>
      </c>
      <c r="Z109" s="254">
        <f t="shared" si="1"/>
        <v>8</v>
      </c>
    </row>
    <row r="110" spans="2:26" hidden="1" x14ac:dyDescent="0.25">
      <c r="B110" t="s">
        <v>284</v>
      </c>
      <c r="C110">
        <v>4002</v>
      </c>
      <c r="D110" t="s">
        <v>290</v>
      </c>
      <c r="E110" s="130">
        <v>45535</v>
      </c>
      <c r="F110" t="s">
        <v>288</v>
      </c>
      <c r="G110">
        <v>35.36</v>
      </c>
      <c r="H110">
        <v>7.88</v>
      </c>
      <c r="I110">
        <v>0.52</v>
      </c>
      <c r="J110">
        <v>0.06</v>
      </c>
      <c r="K110">
        <v>0.11</v>
      </c>
      <c r="L110">
        <v>1.46</v>
      </c>
      <c r="M110">
        <v>0.03</v>
      </c>
      <c r="N110">
        <v>-0.01</v>
      </c>
      <c r="O110">
        <v>-0.09</v>
      </c>
      <c r="P110">
        <v>-0.14000000000000001</v>
      </c>
      <c r="Q110">
        <v>0</v>
      </c>
      <c r="R110">
        <v>0</v>
      </c>
      <c r="S110">
        <v>0.48</v>
      </c>
      <c r="T110">
        <v>0.47</v>
      </c>
      <c r="U110">
        <v>0.23</v>
      </c>
      <c r="V110">
        <v>0</v>
      </c>
      <c r="W110">
        <v>0</v>
      </c>
      <c r="X110">
        <v>46.36</v>
      </c>
      <c r="Y110">
        <v>422663.08600000001</v>
      </c>
      <c r="Z110" s="254">
        <f t="shared" si="1"/>
        <v>8</v>
      </c>
    </row>
    <row r="111" spans="2:26" hidden="1" x14ac:dyDescent="0.25">
      <c r="B111" t="s">
        <v>284</v>
      </c>
      <c r="C111">
        <v>4002</v>
      </c>
      <c r="D111" t="s">
        <v>290</v>
      </c>
      <c r="E111" s="130">
        <v>45565</v>
      </c>
      <c r="F111" t="s">
        <v>286</v>
      </c>
      <c r="G111">
        <v>35.42</v>
      </c>
      <c r="H111">
        <v>7.88</v>
      </c>
      <c r="I111">
        <v>0.64</v>
      </c>
      <c r="J111">
        <v>0.09</v>
      </c>
      <c r="K111">
        <v>0.16</v>
      </c>
      <c r="L111">
        <v>0.48</v>
      </c>
      <c r="M111">
        <v>0.02</v>
      </c>
      <c r="N111">
        <v>0</v>
      </c>
      <c r="O111">
        <v>-0.15</v>
      </c>
      <c r="P111">
        <v>-0.16</v>
      </c>
      <c r="Q111">
        <v>0</v>
      </c>
      <c r="R111">
        <v>0</v>
      </c>
      <c r="S111">
        <v>0.48</v>
      </c>
      <c r="T111">
        <v>0.46</v>
      </c>
      <c r="U111">
        <v>0.23</v>
      </c>
      <c r="V111">
        <v>0</v>
      </c>
      <c r="W111">
        <v>0</v>
      </c>
      <c r="X111">
        <v>45.56</v>
      </c>
      <c r="Y111">
        <v>851256.78899999999</v>
      </c>
      <c r="Z111" s="254">
        <f t="shared" si="1"/>
        <v>9</v>
      </c>
    </row>
    <row r="112" spans="2:26" hidden="1" x14ac:dyDescent="0.25">
      <c r="B112" t="s">
        <v>284</v>
      </c>
      <c r="C112">
        <v>4002</v>
      </c>
      <c r="D112" t="s">
        <v>290</v>
      </c>
      <c r="E112" s="130">
        <v>45565</v>
      </c>
      <c r="F112" t="s">
        <v>287</v>
      </c>
      <c r="G112">
        <v>30.89</v>
      </c>
      <c r="H112">
        <v>7.88</v>
      </c>
      <c r="I112">
        <v>0.56000000000000005</v>
      </c>
      <c r="J112">
        <v>0.09</v>
      </c>
      <c r="K112">
        <v>0.16</v>
      </c>
      <c r="L112">
        <v>0</v>
      </c>
      <c r="M112">
        <v>0.02</v>
      </c>
      <c r="N112">
        <v>0</v>
      </c>
      <c r="O112">
        <v>-0.12</v>
      </c>
      <c r="P112">
        <v>-0.16</v>
      </c>
      <c r="Q112">
        <v>0</v>
      </c>
      <c r="R112">
        <v>0</v>
      </c>
      <c r="S112">
        <v>0.48</v>
      </c>
      <c r="T112">
        <v>0.46</v>
      </c>
      <c r="U112">
        <v>0.23</v>
      </c>
      <c r="V112">
        <v>0</v>
      </c>
      <c r="W112">
        <v>0</v>
      </c>
      <c r="X112">
        <v>40.49</v>
      </c>
      <c r="Y112">
        <v>386120.13400000002</v>
      </c>
      <c r="Z112" s="254">
        <f t="shared" si="1"/>
        <v>9</v>
      </c>
    </row>
    <row r="113" spans="2:26" hidden="1" x14ac:dyDescent="0.25">
      <c r="B113" t="s">
        <v>284</v>
      </c>
      <c r="C113">
        <v>4002</v>
      </c>
      <c r="D113" t="s">
        <v>290</v>
      </c>
      <c r="E113" s="130">
        <v>45565</v>
      </c>
      <c r="F113" t="s">
        <v>288</v>
      </c>
      <c r="G113">
        <v>40.06</v>
      </c>
      <c r="H113">
        <v>7.88</v>
      </c>
      <c r="I113">
        <v>0.71</v>
      </c>
      <c r="J113">
        <v>0.1</v>
      </c>
      <c r="K113">
        <v>0.16</v>
      </c>
      <c r="L113">
        <v>0.97</v>
      </c>
      <c r="M113">
        <v>0.03</v>
      </c>
      <c r="N113">
        <v>0</v>
      </c>
      <c r="O113">
        <v>-0.18</v>
      </c>
      <c r="P113">
        <v>-0.16</v>
      </c>
      <c r="Q113">
        <v>0</v>
      </c>
      <c r="R113">
        <v>0</v>
      </c>
      <c r="S113">
        <v>0.48</v>
      </c>
      <c r="T113">
        <v>0.46</v>
      </c>
      <c r="U113">
        <v>0.23</v>
      </c>
      <c r="V113">
        <v>0</v>
      </c>
      <c r="W113">
        <v>0</v>
      </c>
      <c r="X113">
        <v>50.74</v>
      </c>
      <c r="Y113">
        <v>465136.65500000003</v>
      </c>
      <c r="Z113" s="254">
        <f t="shared" si="1"/>
        <v>9</v>
      </c>
    </row>
    <row r="114" spans="2:26" hidden="1" x14ac:dyDescent="0.25">
      <c r="B114" t="s">
        <v>284</v>
      </c>
      <c r="C114">
        <v>4002</v>
      </c>
      <c r="D114" t="s">
        <v>290</v>
      </c>
      <c r="E114" s="130">
        <v>45596</v>
      </c>
      <c r="F114" t="s">
        <v>286</v>
      </c>
      <c r="G114">
        <v>41.25</v>
      </c>
      <c r="H114">
        <v>7.51</v>
      </c>
      <c r="I114">
        <v>0.49</v>
      </c>
      <c r="J114">
        <v>0.11</v>
      </c>
      <c r="K114">
        <v>0.23</v>
      </c>
      <c r="L114">
        <v>0.48</v>
      </c>
      <c r="M114">
        <v>0.02</v>
      </c>
      <c r="N114">
        <v>0</v>
      </c>
      <c r="O114">
        <v>-0.3</v>
      </c>
      <c r="P114">
        <v>-0.18</v>
      </c>
      <c r="Q114">
        <v>0</v>
      </c>
      <c r="R114">
        <v>0</v>
      </c>
      <c r="S114">
        <v>0.48</v>
      </c>
      <c r="T114">
        <v>0.47</v>
      </c>
      <c r="U114">
        <v>0.23</v>
      </c>
      <c r="V114">
        <v>0</v>
      </c>
      <c r="W114">
        <v>0</v>
      </c>
      <c r="X114">
        <v>50.78</v>
      </c>
      <c r="Y114">
        <v>873962.47199999995</v>
      </c>
      <c r="Z114" s="254">
        <f t="shared" si="1"/>
        <v>10</v>
      </c>
    </row>
    <row r="115" spans="2:26" hidden="1" x14ac:dyDescent="0.25">
      <c r="B115" t="s">
        <v>284</v>
      </c>
      <c r="C115">
        <v>4002</v>
      </c>
      <c r="D115" t="s">
        <v>290</v>
      </c>
      <c r="E115" s="130">
        <v>45596</v>
      </c>
      <c r="F115" t="s">
        <v>287</v>
      </c>
      <c r="G115">
        <v>37.04</v>
      </c>
      <c r="H115">
        <v>7.51</v>
      </c>
      <c r="I115">
        <v>0.42</v>
      </c>
      <c r="J115">
        <v>0.09</v>
      </c>
      <c r="K115">
        <v>0.17</v>
      </c>
      <c r="L115">
        <v>0</v>
      </c>
      <c r="M115">
        <v>0.01</v>
      </c>
      <c r="N115">
        <v>0.01</v>
      </c>
      <c r="O115">
        <v>-0.28999999999999998</v>
      </c>
      <c r="P115">
        <v>-0.18</v>
      </c>
      <c r="Q115">
        <v>0</v>
      </c>
      <c r="R115">
        <v>0</v>
      </c>
      <c r="S115">
        <v>0.48</v>
      </c>
      <c r="T115">
        <v>0.47</v>
      </c>
      <c r="U115">
        <v>0.23</v>
      </c>
      <c r="V115">
        <v>0</v>
      </c>
      <c r="W115">
        <v>0</v>
      </c>
      <c r="X115">
        <v>45.97</v>
      </c>
      <c r="Y115">
        <v>448491.18699999998</v>
      </c>
      <c r="Z115" s="254">
        <f t="shared" si="1"/>
        <v>10</v>
      </c>
    </row>
    <row r="116" spans="2:26" hidden="1" x14ac:dyDescent="0.25">
      <c r="B116" t="s">
        <v>284</v>
      </c>
      <c r="C116">
        <v>4002</v>
      </c>
      <c r="D116" t="s">
        <v>290</v>
      </c>
      <c r="E116" s="130">
        <v>45596</v>
      </c>
      <c r="F116" t="s">
        <v>288</v>
      </c>
      <c r="G116">
        <v>46.52</v>
      </c>
      <c r="H116">
        <v>7.51</v>
      </c>
      <c r="I116">
        <v>0.57999999999999996</v>
      </c>
      <c r="J116">
        <v>0.14000000000000001</v>
      </c>
      <c r="K116">
        <v>0.3</v>
      </c>
      <c r="L116">
        <v>1.0900000000000001</v>
      </c>
      <c r="M116">
        <v>0.02</v>
      </c>
      <c r="N116">
        <v>0</v>
      </c>
      <c r="O116">
        <v>-0.33</v>
      </c>
      <c r="P116">
        <v>-0.18</v>
      </c>
      <c r="Q116">
        <v>0</v>
      </c>
      <c r="R116">
        <v>0</v>
      </c>
      <c r="S116">
        <v>0.48</v>
      </c>
      <c r="T116">
        <v>0.47</v>
      </c>
      <c r="U116">
        <v>0.23</v>
      </c>
      <c r="V116">
        <v>0</v>
      </c>
      <c r="W116">
        <v>0</v>
      </c>
      <c r="X116">
        <v>56.82</v>
      </c>
      <c r="Y116">
        <v>425471.28499999997</v>
      </c>
      <c r="Z116" s="254">
        <f t="shared" si="1"/>
        <v>10</v>
      </c>
    </row>
    <row r="117" spans="2:26" hidden="1" x14ac:dyDescent="0.25">
      <c r="B117" t="s">
        <v>284</v>
      </c>
      <c r="C117">
        <v>4002</v>
      </c>
      <c r="D117" t="s">
        <v>290</v>
      </c>
      <c r="E117" s="130">
        <v>45626</v>
      </c>
      <c r="F117" t="s">
        <v>286</v>
      </c>
      <c r="G117">
        <v>85.01</v>
      </c>
      <c r="H117">
        <v>6.18</v>
      </c>
      <c r="I117">
        <v>0.6</v>
      </c>
      <c r="J117">
        <v>0.22</v>
      </c>
      <c r="K117">
        <v>0.17</v>
      </c>
      <c r="L117">
        <v>0.39</v>
      </c>
      <c r="M117">
        <v>0.04</v>
      </c>
      <c r="N117">
        <v>0.01</v>
      </c>
      <c r="O117">
        <v>-0.59</v>
      </c>
      <c r="P117">
        <v>-0.31</v>
      </c>
      <c r="Q117">
        <v>0</v>
      </c>
      <c r="R117">
        <v>0</v>
      </c>
      <c r="S117">
        <v>0.48</v>
      </c>
      <c r="T117">
        <v>0.46</v>
      </c>
      <c r="U117">
        <v>0.23</v>
      </c>
      <c r="V117">
        <v>2.58</v>
      </c>
      <c r="W117">
        <v>0</v>
      </c>
      <c r="X117">
        <v>95.48</v>
      </c>
      <c r="Y117">
        <v>1048164.137</v>
      </c>
      <c r="Z117" s="254">
        <f t="shared" si="1"/>
        <v>11</v>
      </c>
    </row>
    <row r="118" spans="2:26" hidden="1" x14ac:dyDescent="0.25">
      <c r="B118" t="s">
        <v>284</v>
      </c>
      <c r="C118">
        <v>4002</v>
      </c>
      <c r="D118" t="s">
        <v>290</v>
      </c>
      <c r="E118" s="130">
        <v>45626</v>
      </c>
      <c r="F118" t="s">
        <v>287</v>
      </c>
      <c r="G118">
        <v>80.180000000000007</v>
      </c>
      <c r="H118">
        <v>6.18</v>
      </c>
      <c r="I118">
        <v>0.59</v>
      </c>
      <c r="J118">
        <v>0.18</v>
      </c>
      <c r="K118">
        <v>0.18</v>
      </c>
      <c r="L118">
        <v>0</v>
      </c>
      <c r="M118">
        <v>0.03</v>
      </c>
      <c r="N118">
        <v>0.01</v>
      </c>
      <c r="O118">
        <v>-0.57999999999999996</v>
      </c>
      <c r="P118">
        <v>-0.31</v>
      </c>
      <c r="Q118">
        <v>0</v>
      </c>
      <c r="R118">
        <v>0</v>
      </c>
      <c r="S118">
        <v>0.48</v>
      </c>
      <c r="T118">
        <v>0.46</v>
      </c>
      <c r="U118">
        <v>0.23</v>
      </c>
      <c r="V118">
        <v>2.61</v>
      </c>
      <c r="W118">
        <v>0</v>
      </c>
      <c r="X118">
        <v>90.25</v>
      </c>
      <c r="Y118">
        <v>538651.28200000001</v>
      </c>
      <c r="Z118" s="254">
        <f t="shared" si="1"/>
        <v>11</v>
      </c>
    </row>
    <row r="119" spans="2:26" hidden="1" x14ac:dyDescent="0.25">
      <c r="B119" t="s">
        <v>284</v>
      </c>
      <c r="C119">
        <v>4002</v>
      </c>
      <c r="D119" t="s">
        <v>290</v>
      </c>
      <c r="E119" s="130">
        <v>45626</v>
      </c>
      <c r="F119" t="s">
        <v>288</v>
      </c>
      <c r="G119">
        <v>90.88</v>
      </c>
      <c r="H119">
        <v>6.18</v>
      </c>
      <c r="I119">
        <v>0.61</v>
      </c>
      <c r="J119">
        <v>0.27</v>
      </c>
      <c r="K119">
        <v>0.15</v>
      </c>
      <c r="L119">
        <v>0.86</v>
      </c>
      <c r="M119">
        <v>0.05</v>
      </c>
      <c r="N119">
        <v>0</v>
      </c>
      <c r="O119">
        <v>-0.59</v>
      </c>
      <c r="P119">
        <v>-0.31</v>
      </c>
      <c r="Q119">
        <v>0</v>
      </c>
      <c r="R119">
        <v>0</v>
      </c>
      <c r="S119">
        <v>0.48</v>
      </c>
      <c r="T119">
        <v>0.46</v>
      </c>
      <c r="U119">
        <v>0.23</v>
      </c>
      <c r="V119">
        <v>2.5499999999999998</v>
      </c>
      <c r="W119">
        <v>0</v>
      </c>
      <c r="X119">
        <v>101.83</v>
      </c>
      <c r="Y119">
        <v>509512.85499999998</v>
      </c>
      <c r="Z119" s="254">
        <f t="shared" si="1"/>
        <v>11</v>
      </c>
    </row>
    <row r="120" spans="2:26" hidden="1" x14ac:dyDescent="0.25">
      <c r="B120" t="s">
        <v>284</v>
      </c>
      <c r="C120">
        <v>4003</v>
      </c>
      <c r="D120" t="s">
        <v>291</v>
      </c>
      <c r="E120" s="130">
        <v>45291</v>
      </c>
      <c r="F120" t="s">
        <v>286</v>
      </c>
      <c r="G120">
        <v>62.9</v>
      </c>
      <c r="H120">
        <v>5.34</v>
      </c>
      <c r="I120">
        <v>0.67</v>
      </c>
      <c r="J120">
        <v>0.08</v>
      </c>
      <c r="K120">
        <v>0.21</v>
      </c>
      <c r="L120">
        <v>0.46</v>
      </c>
      <c r="M120">
        <v>0.04</v>
      </c>
      <c r="N120">
        <v>0.01</v>
      </c>
      <c r="O120">
        <v>-0.26</v>
      </c>
      <c r="P120">
        <v>-0.3</v>
      </c>
      <c r="Q120">
        <v>0</v>
      </c>
      <c r="R120">
        <v>0</v>
      </c>
      <c r="S120">
        <v>0.48</v>
      </c>
      <c r="T120">
        <v>0.46</v>
      </c>
      <c r="U120">
        <v>0.23</v>
      </c>
      <c r="V120">
        <v>2.52</v>
      </c>
      <c r="W120">
        <v>0</v>
      </c>
      <c r="X120">
        <v>72.84</v>
      </c>
      <c r="Y120">
        <v>511805.09299999999</v>
      </c>
      <c r="Z120" s="254">
        <f t="shared" si="1"/>
        <v>12</v>
      </c>
    </row>
    <row r="121" spans="2:26" hidden="1" x14ac:dyDescent="0.25">
      <c r="B121" t="s">
        <v>284</v>
      </c>
      <c r="C121">
        <v>4003</v>
      </c>
      <c r="D121" t="s">
        <v>291</v>
      </c>
      <c r="E121" s="130">
        <v>45291</v>
      </c>
      <c r="F121" t="s">
        <v>287</v>
      </c>
      <c r="G121">
        <v>56.36</v>
      </c>
      <c r="H121">
        <v>5.34</v>
      </c>
      <c r="I121">
        <v>0.56999999999999995</v>
      </c>
      <c r="J121">
        <v>7.0000000000000007E-2</v>
      </c>
      <c r="K121">
        <v>0.2</v>
      </c>
      <c r="L121">
        <v>0</v>
      </c>
      <c r="M121">
        <v>0.03</v>
      </c>
      <c r="N121">
        <v>0.02</v>
      </c>
      <c r="O121">
        <v>-0.24</v>
      </c>
      <c r="P121">
        <v>-0.3</v>
      </c>
      <c r="Q121">
        <v>0</v>
      </c>
      <c r="R121">
        <v>0</v>
      </c>
      <c r="S121">
        <v>0.48</v>
      </c>
      <c r="T121">
        <v>0.46</v>
      </c>
      <c r="U121">
        <v>0.23</v>
      </c>
      <c r="V121">
        <v>2.61</v>
      </c>
      <c r="W121">
        <v>0</v>
      </c>
      <c r="X121">
        <v>65.81</v>
      </c>
      <c r="Y121">
        <v>252897.14799999999</v>
      </c>
      <c r="Z121" s="254">
        <f t="shared" si="1"/>
        <v>12</v>
      </c>
    </row>
    <row r="122" spans="2:26" hidden="1" x14ac:dyDescent="0.25">
      <c r="B122" t="s">
        <v>284</v>
      </c>
      <c r="C122">
        <v>4003</v>
      </c>
      <c r="D122" t="s">
        <v>291</v>
      </c>
      <c r="E122" s="130">
        <v>45291</v>
      </c>
      <c r="F122" t="s">
        <v>288</v>
      </c>
      <c r="G122">
        <v>70.180000000000007</v>
      </c>
      <c r="H122">
        <v>5.34</v>
      </c>
      <c r="I122">
        <v>0.79</v>
      </c>
      <c r="J122">
        <v>0.1</v>
      </c>
      <c r="K122">
        <v>0.22</v>
      </c>
      <c r="L122">
        <v>0.98</v>
      </c>
      <c r="M122">
        <v>0.06</v>
      </c>
      <c r="N122">
        <v>0</v>
      </c>
      <c r="O122">
        <v>-0.28999999999999998</v>
      </c>
      <c r="P122">
        <v>-0.3</v>
      </c>
      <c r="Q122">
        <v>0</v>
      </c>
      <c r="R122">
        <v>0</v>
      </c>
      <c r="S122">
        <v>0.48</v>
      </c>
      <c r="T122">
        <v>0.46</v>
      </c>
      <c r="U122">
        <v>0.23</v>
      </c>
      <c r="V122">
        <v>2.42</v>
      </c>
      <c r="W122">
        <v>0</v>
      </c>
      <c r="X122">
        <v>80.67</v>
      </c>
      <c r="Y122">
        <v>258907.94500000001</v>
      </c>
      <c r="Z122" s="254">
        <f t="shared" si="1"/>
        <v>12</v>
      </c>
    </row>
    <row r="123" spans="2:26" hidden="1" x14ac:dyDescent="0.25">
      <c r="B123" t="s">
        <v>284</v>
      </c>
      <c r="C123">
        <v>4003</v>
      </c>
      <c r="D123" t="s">
        <v>291</v>
      </c>
      <c r="E123" s="130">
        <v>45322</v>
      </c>
      <c r="F123" t="s">
        <v>286</v>
      </c>
      <c r="G123">
        <v>31.35</v>
      </c>
      <c r="H123">
        <v>6.19</v>
      </c>
      <c r="I123">
        <v>0.5</v>
      </c>
      <c r="J123">
        <v>0.05</v>
      </c>
      <c r="K123">
        <v>0.13</v>
      </c>
      <c r="L123">
        <v>0.54</v>
      </c>
      <c r="M123">
        <v>0.03</v>
      </c>
      <c r="N123">
        <v>0</v>
      </c>
      <c r="O123">
        <v>-0.16</v>
      </c>
      <c r="P123">
        <v>-0.28999999999999998</v>
      </c>
      <c r="Q123">
        <v>0</v>
      </c>
      <c r="R123">
        <v>0</v>
      </c>
      <c r="S123">
        <v>0.48</v>
      </c>
      <c r="T123">
        <v>0.49</v>
      </c>
      <c r="U123">
        <v>0.23</v>
      </c>
      <c r="V123">
        <v>2.64</v>
      </c>
      <c r="W123">
        <v>0</v>
      </c>
      <c r="X123">
        <v>42.17</v>
      </c>
      <c r="Y123">
        <v>423645.06300000002</v>
      </c>
      <c r="Z123" s="254">
        <f t="shared" si="1"/>
        <v>1</v>
      </c>
    </row>
    <row r="124" spans="2:26" hidden="1" x14ac:dyDescent="0.25">
      <c r="B124" t="s">
        <v>284</v>
      </c>
      <c r="C124">
        <v>4003</v>
      </c>
      <c r="D124" t="s">
        <v>291</v>
      </c>
      <c r="E124" s="130">
        <v>45322</v>
      </c>
      <c r="F124" t="s">
        <v>287</v>
      </c>
      <c r="G124">
        <v>29.81</v>
      </c>
      <c r="H124">
        <v>6.19</v>
      </c>
      <c r="I124">
        <v>0.55000000000000004</v>
      </c>
      <c r="J124">
        <v>0.05</v>
      </c>
      <c r="K124">
        <v>0.12</v>
      </c>
      <c r="L124">
        <v>0</v>
      </c>
      <c r="M124">
        <v>0.02</v>
      </c>
      <c r="N124">
        <v>0</v>
      </c>
      <c r="O124">
        <v>-0.14000000000000001</v>
      </c>
      <c r="P124">
        <v>-0.28999999999999998</v>
      </c>
      <c r="Q124">
        <v>0</v>
      </c>
      <c r="R124">
        <v>0</v>
      </c>
      <c r="S124">
        <v>0.48</v>
      </c>
      <c r="T124">
        <v>0.49</v>
      </c>
      <c r="U124">
        <v>0.23</v>
      </c>
      <c r="V124">
        <v>2.68</v>
      </c>
      <c r="W124">
        <v>0</v>
      </c>
      <c r="X124">
        <v>40.18</v>
      </c>
      <c r="Y124">
        <v>213921.74600000001</v>
      </c>
      <c r="Z124" s="254">
        <f t="shared" si="1"/>
        <v>1</v>
      </c>
    </row>
    <row r="125" spans="2:26" hidden="1" x14ac:dyDescent="0.25">
      <c r="B125" t="s">
        <v>284</v>
      </c>
      <c r="C125">
        <v>4003</v>
      </c>
      <c r="D125" t="s">
        <v>291</v>
      </c>
      <c r="E125" s="130">
        <v>45322</v>
      </c>
      <c r="F125" t="s">
        <v>288</v>
      </c>
      <c r="G125">
        <v>33</v>
      </c>
      <c r="H125">
        <v>6.19</v>
      </c>
      <c r="I125">
        <v>0.45</v>
      </c>
      <c r="J125">
        <v>0.04</v>
      </c>
      <c r="K125">
        <v>0.14000000000000001</v>
      </c>
      <c r="L125">
        <v>1.1100000000000001</v>
      </c>
      <c r="M125">
        <v>0.03</v>
      </c>
      <c r="N125">
        <v>0</v>
      </c>
      <c r="O125">
        <v>-0.19</v>
      </c>
      <c r="P125">
        <v>-0.28999999999999998</v>
      </c>
      <c r="Q125">
        <v>0</v>
      </c>
      <c r="R125">
        <v>0</v>
      </c>
      <c r="S125">
        <v>0.48</v>
      </c>
      <c r="T125">
        <v>0.49</v>
      </c>
      <c r="U125">
        <v>0.23</v>
      </c>
      <c r="V125">
        <v>2.59</v>
      </c>
      <c r="W125">
        <v>0</v>
      </c>
      <c r="X125">
        <v>44.29</v>
      </c>
      <c r="Y125">
        <v>209723.31700000001</v>
      </c>
      <c r="Z125" s="254">
        <f t="shared" si="1"/>
        <v>1</v>
      </c>
    </row>
    <row r="126" spans="2:26" hidden="1" x14ac:dyDescent="0.25">
      <c r="B126" t="s">
        <v>284</v>
      </c>
      <c r="C126">
        <v>4003</v>
      </c>
      <c r="D126" t="s">
        <v>291</v>
      </c>
      <c r="E126" s="130">
        <v>45351</v>
      </c>
      <c r="F126" t="s">
        <v>286</v>
      </c>
      <c r="G126">
        <v>23</v>
      </c>
      <c r="H126">
        <v>6.34</v>
      </c>
      <c r="I126">
        <v>0.41</v>
      </c>
      <c r="J126">
        <v>0.05</v>
      </c>
      <c r="K126">
        <v>0.1</v>
      </c>
      <c r="L126">
        <v>0.55000000000000004</v>
      </c>
      <c r="M126">
        <v>0.02</v>
      </c>
      <c r="N126">
        <v>-0.01</v>
      </c>
      <c r="O126">
        <v>-0.06</v>
      </c>
      <c r="P126">
        <v>-0.11</v>
      </c>
      <c r="Q126">
        <v>0</v>
      </c>
      <c r="R126">
        <v>0</v>
      </c>
      <c r="S126">
        <v>0.48</v>
      </c>
      <c r="T126">
        <v>0.46</v>
      </c>
      <c r="U126">
        <v>0.23</v>
      </c>
      <c r="V126">
        <v>0</v>
      </c>
      <c r="W126">
        <v>0</v>
      </c>
      <c r="X126">
        <v>31.46</v>
      </c>
      <c r="Y126">
        <v>405502.42</v>
      </c>
      <c r="Z126" s="254">
        <f t="shared" si="1"/>
        <v>2</v>
      </c>
    </row>
    <row r="127" spans="2:26" hidden="1" x14ac:dyDescent="0.25">
      <c r="B127" t="s">
        <v>284</v>
      </c>
      <c r="C127">
        <v>4003</v>
      </c>
      <c r="D127" t="s">
        <v>291</v>
      </c>
      <c r="E127" s="130">
        <v>45351</v>
      </c>
      <c r="F127" t="s">
        <v>287</v>
      </c>
      <c r="G127">
        <v>22.03</v>
      </c>
      <c r="H127">
        <v>6.34</v>
      </c>
      <c r="I127">
        <v>0.34</v>
      </c>
      <c r="J127">
        <v>0.04</v>
      </c>
      <c r="K127">
        <v>0.1</v>
      </c>
      <c r="L127">
        <v>0</v>
      </c>
      <c r="M127">
        <v>0.02</v>
      </c>
      <c r="N127">
        <v>0</v>
      </c>
      <c r="O127">
        <v>-0.04</v>
      </c>
      <c r="P127">
        <v>-0.11</v>
      </c>
      <c r="Q127">
        <v>0</v>
      </c>
      <c r="R127">
        <v>0</v>
      </c>
      <c r="S127">
        <v>0.48</v>
      </c>
      <c r="T127">
        <v>0.46</v>
      </c>
      <c r="U127">
        <v>0.23</v>
      </c>
      <c r="V127">
        <v>0</v>
      </c>
      <c r="W127">
        <v>0</v>
      </c>
      <c r="X127">
        <v>29.89</v>
      </c>
      <c r="Y127">
        <v>217740.05499999999</v>
      </c>
      <c r="Z127" s="254">
        <f t="shared" si="1"/>
        <v>2</v>
      </c>
    </row>
    <row r="128" spans="2:26" hidden="1" x14ac:dyDescent="0.25">
      <c r="B128" t="s">
        <v>284</v>
      </c>
      <c r="C128">
        <v>4003</v>
      </c>
      <c r="D128" t="s">
        <v>291</v>
      </c>
      <c r="E128" s="130">
        <v>45351</v>
      </c>
      <c r="F128" t="s">
        <v>288</v>
      </c>
      <c r="G128">
        <v>24.17</v>
      </c>
      <c r="H128">
        <v>6.34</v>
      </c>
      <c r="I128">
        <v>0.5</v>
      </c>
      <c r="J128">
        <v>0.05</v>
      </c>
      <c r="K128">
        <v>0.1</v>
      </c>
      <c r="L128">
        <v>1.21</v>
      </c>
      <c r="M128">
        <v>0.02</v>
      </c>
      <c r="N128">
        <v>-0.01</v>
      </c>
      <c r="O128">
        <v>-7.0000000000000007E-2</v>
      </c>
      <c r="P128">
        <v>-0.11</v>
      </c>
      <c r="Q128">
        <v>0</v>
      </c>
      <c r="R128">
        <v>0</v>
      </c>
      <c r="S128">
        <v>0.48</v>
      </c>
      <c r="T128">
        <v>0.46</v>
      </c>
      <c r="U128">
        <v>0.23</v>
      </c>
      <c r="V128">
        <v>0</v>
      </c>
      <c r="W128">
        <v>0</v>
      </c>
      <c r="X128">
        <v>33.369999999999997</v>
      </c>
      <c r="Y128">
        <v>187762.36499999999</v>
      </c>
      <c r="Z128" s="254">
        <f t="shared" si="1"/>
        <v>2</v>
      </c>
    </row>
    <row r="129" spans="2:26" hidden="1" x14ac:dyDescent="0.25">
      <c r="B129" t="s">
        <v>284</v>
      </c>
      <c r="C129">
        <v>4003</v>
      </c>
      <c r="D129" t="s">
        <v>291</v>
      </c>
      <c r="E129" s="130">
        <v>45382</v>
      </c>
      <c r="F129" t="s">
        <v>286</v>
      </c>
      <c r="G129">
        <v>24.37</v>
      </c>
      <c r="H129">
        <v>7.26</v>
      </c>
      <c r="I129">
        <v>0.54</v>
      </c>
      <c r="J129">
        <v>0.06</v>
      </c>
      <c r="K129">
        <v>0.1</v>
      </c>
      <c r="L129">
        <v>0.55000000000000004</v>
      </c>
      <c r="M129">
        <v>0.02</v>
      </c>
      <c r="N129">
        <v>0</v>
      </c>
      <c r="O129">
        <v>-0.02</v>
      </c>
      <c r="P129">
        <v>-0.11</v>
      </c>
      <c r="Q129">
        <v>0</v>
      </c>
      <c r="R129">
        <v>0</v>
      </c>
      <c r="S129">
        <v>0.48</v>
      </c>
      <c r="T129">
        <v>0.47</v>
      </c>
      <c r="U129">
        <v>0.23</v>
      </c>
      <c r="V129">
        <v>0</v>
      </c>
      <c r="W129">
        <v>0</v>
      </c>
      <c r="X129">
        <v>33.96</v>
      </c>
      <c r="Y129">
        <v>332142.185</v>
      </c>
      <c r="Z129" s="254">
        <f t="shared" si="1"/>
        <v>3</v>
      </c>
    </row>
    <row r="130" spans="2:26" hidden="1" x14ac:dyDescent="0.25">
      <c r="B130" t="s">
        <v>284</v>
      </c>
      <c r="C130">
        <v>4003</v>
      </c>
      <c r="D130" t="s">
        <v>291</v>
      </c>
      <c r="E130" s="130">
        <v>45382</v>
      </c>
      <c r="F130" t="s">
        <v>287</v>
      </c>
      <c r="G130">
        <v>23.4</v>
      </c>
      <c r="H130">
        <v>7.26</v>
      </c>
      <c r="I130">
        <v>0.59</v>
      </c>
      <c r="J130">
        <v>0.06</v>
      </c>
      <c r="K130">
        <v>7.0000000000000007E-2</v>
      </c>
      <c r="L130">
        <v>0</v>
      </c>
      <c r="M130">
        <v>0.03</v>
      </c>
      <c r="N130">
        <v>0</v>
      </c>
      <c r="O130">
        <v>0</v>
      </c>
      <c r="P130">
        <v>-0.11</v>
      </c>
      <c r="Q130">
        <v>0</v>
      </c>
      <c r="R130">
        <v>0</v>
      </c>
      <c r="S130">
        <v>0.48</v>
      </c>
      <c r="T130">
        <v>0.47</v>
      </c>
      <c r="U130">
        <v>0.23</v>
      </c>
      <c r="V130">
        <v>0</v>
      </c>
      <c r="W130">
        <v>0</v>
      </c>
      <c r="X130">
        <v>32.47</v>
      </c>
      <c r="Y130">
        <v>168599.24</v>
      </c>
      <c r="Z130" s="254">
        <f t="shared" si="1"/>
        <v>3</v>
      </c>
    </row>
    <row r="131" spans="2:26" hidden="1" x14ac:dyDescent="0.25">
      <c r="B131" t="s">
        <v>284</v>
      </c>
      <c r="C131">
        <v>4003</v>
      </c>
      <c r="D131" t="s">
        <v>291</v>
      </c>
      <c r="E131" s="130">
        <v>45382</v>
      </c>
      <c r="F131" t="s">
        <v>288</v>
      </c>
      <c r="G131">
        <v>25.39</v>
      </c>
      <c r="H131">
        <v>7.26</v>
      </c>
      <c r="I131">
        <v>0.5</v>
      </c>
      <c r="J131">
        <v>0.06</v>
      </c>
      <c r="K131">
        <v>0.13</v>
      </c>
      <c r="L131">
        <v>1.1299999999999999</v>
      </c>
      <c r="M131">
        <v>0.02</v>
      </c>
      <c r="N131">
        <v>0</v>
      </c>
      <c r="O131">
        <v>-0.03</v>
      </c>
      <c r="P131">
        <v>-0.11</v>
      </c>
      <c r="Q131">
        <v>0</v>
      </c>
      <c r="R131">
        <v>0</v>
      </c>
      <c r="S131">
        <v>0.48</v>
      </c>
      <c r="T131">
        <v>0.47</v>
      </c>
      <c r="U131">
        <v>0.23</v>
      </c>
      <c r="V131">
        <v>0</v>
      </c>
      <c r="W131">
        <v>0</v>
      </c>
      <c r="X131">
        <v>35.520000000000003</v>
      </c>
      <c r="Y131">
        <v>163542.94500000001</v>
      </c>
      <c r="Z131" s="254">
        <f t="shared" si="1"/>
        <v>3</v>
      </c>
    </row>
    <row r="132" spans="2:26" hidden="1" x14ac:dyDescent="0.25">
      <c r="B132" t="s">
        <v>284</v>
      </c>
      <c r="C132">
        <v>4003</v>
      </c>
      <c r="D132" t="s">
        <v>291</v>
      </c>
      <c r="E132" s="130">
        <v>45412</v>
      </c>
      <c r="F132" t="s">
        <v>286</v>
      </c>
      <c r="G132">
        <v>26.22</v>
      </c>
      <c r="H132">
        <v>7.08</v>
      </c>
      <c r="I132">
        <v>0.5</v>
      </c>
      <c r="J132">
        <v>0.06</v>
      </c>
      <c r="K132">
        <v>7.0000000000000007E-2</v>
      </c>
      <c r="L132">
        <v>0.56000000000000005</v>
      </c>
      <c r="M132">
        <v>0.02</v>
      </c>
      <c r="N132">
        <v>0</v>
      </c>
      <c r="O132">
        <v>-0.06</v>
      </c>
      <c r="P132">
        <v>-0.11</v>
      </c>
      <c r="Q132">
        <v>0</v>
      </c>
      <c r="R132">
        <v>0</v>
      </c>
      <c r="S132">
        <v>0.48</v>
      </c>
      <c r="T132">
        <v>0.46</v>
      </c>
      <c r="U132">
        <v>0.23</v>
      </c>
      <c r="V132">
        <v>0</v>
      </c>
      <c r="W132">
        <v>0</v>
      </c>
      <c r="X132">
        <v>35.51</v>
      </c>
      <c r="Y132">
        <v>321813.84600000002</v>
      </c>
      <c r="Z132" s="254">
        <f t="shared" si="1"/>
        <v>4</v>
      </c>
    </row>
    <row r="133" spans="2:26" hidden="1" x14ac:dyDescent="0.25">
      <c r="B133" t="s">
        <v>284</v>
      </c>
      <c r="C133">
        <v>4003</v>
      </c>
      <c r="D133" t="s">
        <v>291</v>
      </c>
      <c r="E133" s="130">
        <v>45412</v>
      </c>
      <c r="F133" t="s">
        <v>287</v>
      </c>
      <c r="G133">
        <v>25.01</v>
      </c>
      <c r="H133">
        <v>7.08</v>
      </c>
      <c r="I133">
        <v>0.61</v>
      </c>
      <c r="J133">
        <v>0.06</v>
      </c>
      <c r="K133">
        <v>0.06</v>
      </c>
      <c r="L133">
        <v>0</v>
      </c>
      <c r="M133">
        <v>0.03</v>
      </c>
      <c r="N133">
        <v>0</v>
      </c>
      <c r="O133">
        <v>-0.04</v>
      </c>
      <c r="P133">
        <v>-0.11</v>
      </c>
      <c r="Q133">
        <v>0</v>
      </c>
      <c r="R133">
        <v>0</v>
      </c>
      <c r="S133">
        <v>0.48</v>
      </c>
      <c r="T133">
        <v>0.46</v>
      </c>
      <c r="U133">
        <v>0.23</v>
      </c>
      <c r="V133">
        <v>0</v>
      </c>
      <c r="W133">
        <v>0</v>
      </c>
      <c r="X133">
        <v>33.86</v>
      </c>
      <c r="Y133">
        <v>169603.93</v>
      </c>
      <c r="Z133" s="254">
        <f t="shared" si="1"/>
        <v>4</v>
      </c>
    </row>
    <row r="134" spans="2:26" hidden="1" x14ac:dyDescent="0.25">
      <c r="B134" t="s">
        <v>284</v>
      </c>
      <c r="C134">
        <v>4003</v>
      </c>
      <c r="D134" t="s">
        <v>291</v>
      </c>
      <c r="E134" s="130">
        <v>45412</v>
      </c>
      <c r="F134" t="s">
        <v>288</v>
      </c>
      <c r="G134">
        <v>27.58</v>
      </c>
      <c r="H134">
        <v>7.08</v>
      </c>
      <c r="I134">
        <v>0.38</v>
      </c>
      <c r="J134">
        <v>0.05</v>
      </c>
      <c r="K134">
        <v>0.08</v>
      </c>
      <c r="L134">
        <v>1.19</v>
      </c>
      <c r="M134">
        <v>0.01</v>
      </c>
      <c r="N134">
        <v>0</v>
      </c>
      <c r="O134">
        <v>-0.08</v>
      </c>
      <c r="P134">
        <v>-0.11</v>
      </c>
      <c r="Q134">
        <v>0</v>
      </c>
      <c r="R134">
        <v>0</v>
      </c>
      <c r="S134">
        <v>0.48</v>
      </c>
      <c r="T134">
        <v>0.46</v>
      </c>
      <c r="U134">
        <v>0.23</v>
      </c>
      <c r="V134">
        <v>0</v>
      </c>
      <c r="W134">
        <v>0</v>
      </c>
      <c r="X134">
        <v>37.35</v>
      </c>
      <c r="Y134">
        <v>152209.916</v>
      </c>
      <c r="Z134" s="254">
        <f t="shared" si="1"/>
        <v>4</v>
      </c>
    </row>
    <row r="135" spans="2:26" hidden="1" x14ac:dyDescent="0.25">
      <c r="B135" t="s">
        <v>284</v>
      </c>
      <c r="C135">
        <v>4003</v>
      </c>
      <c r="D135" t="s">
        <v>291</v>
      </c>
      <c r="E135" s="130">
        <v>45443</v>
      </c>
      <c r="F135" t="s">
        <v>286</v>
      </c>
      <c r="G135">
        <v>30.92</v>
      </c>
      <c r="H135">
        <v>7.06</v>
      </c>
      <c r="I135">
        <v>0.67</v>
      </c>
      <c r="J135">
        <v>0.06</v>
      </c>
      <c r="K135">
        <v>0.09</v>
      </c>
      <c r="L135">
        <v>0.53</v>
      </c>
      <c r="M135">
        <v>0.11</v>
      </c>
      <c r="N135">
        <v>0</v>
      </c>
      <c r="O135">
        <v>-0.14000000000000001</v>
      </c>
      <c r="P135">
        <v>-0.1</v>
      </c>
      <c r="Q135">
        <v>-0.03</v>
      </c>
      <c r="R135">
        <v>0</v>
      </c>
      <c r="S135">
        <v>0.48</v>
      </c>
      <c r="T135">
        <v>0.47</v>
      </c>
      <c r="U135">
        <v>0.23</v>
      </c>
      <c r="V135">
        <v>0</v>
      </c>
      <c r="W135">
        <v>0</v>
      </c>
      <c r="X135">
        <v>40.35</v>
      </c>
      <c r="Y135">
        <v>357774.39500000002</v>
      </c>
      <c r="Z135" s="254">
        <f t="shared" si="1"/>
        <v>5</v>
      </c>
    </row>
    <row r="136" spans="2:26" hidden="1" x14ac:dyDescent="0.25">
      <c r="B136" t="s">
        <v>284</v>
      </c>
      <c r="C136">
        <v>4003</v>
      </c>
      <c r="D136" t="s">
        <v>291</v>
      </c>
      <c r="E136" s="130">
        <v>45443</v>
      </c>
      <c r="F136" t="s">
        <v>287</v>
      </c>
      <c r="G136">
        <v>25.24</v>
      </c>
      <c r="H136">
        <v>7.06</v>
      </c>
      <c r="I136">
        <v>0.54</v>
      </c>
      <c r="J136">
        <v>0.05</v>
      </c>
      <c r="K136">
        <v>0.09</v>
      </c>
      <c r="L136">
        <v>0</v>
      </c>
      <c r="M136">
        <v>0.01</v>
      </c>
      <c r="N136">
        <v>-0.01</v>
      </c>
      <c r="O136">
        <v>-0.11</v>
      </c>
      <c r="P136">
        <v>-0.1</v>
      </c>
      <c r="Q136">
        <v>0</v>
      </c>
      <c r="R136">
        <v>0</v>
      </c>
      <c r="S136">
        <v>0.48</v>
      </c>
      <c r="T136">
        <v>0.47</v>
      </c>
      <c r="U136">
        <v>0.23</v>
      </c>
      <c r="V136">
        <v>0</v>
      </c>
      <c r="W136">
        <v>0</v>
      </c>
      <c r="X136">
        <v>33.950000000000003</v>
      </c>
      <c r="Y136">
        <v>189717.201</v>
      </c>
      <c r="Z136" s="254">
        <f t="shared" si="1"/>
        <v>5</v>
      </c>
    </row>
    <row r="137" spans="2:26" hidden="1" x14ac:dyDescent="0.25">
      <c r="B137" t="s">
        <v>284</v>
      </c>
      <c r="C137">
        <v>4003</v>
      </c>
      <c r="D137" t="s">
        <v>291</v>
      </c>
      <c r="E137" s="130">
        <v>45443</v>
      </c>
      <c r="F137" t="s">
        <v>288</v>
      </c>
      <c r="G137">
        <v>38.01</v>
      </c>
      <c r="H137">
        <v>7.06</v>
      </c>
      <c r="I137">
        <v>0.84</v>
      </c>
      <c r="J137">
        <v>7.0000000000000007E-2</v>
      </c>
      <c r="K137">
        <v>0.1</v>
      </c>
      <c r="L137">
        <v>1.19</v>
      </c>
      <c r="M137">
        <v>0.24</v>
      </c>
      <c r="N137">
        <v>0</v>
      </c>
      <c r="O137">
        <v>-0.17</v>
      </c>
      <c r="P137">
        <v>-0.1</v>
      </c>
      <c r="Q137">
        <v>-0.08</v>
      </c>
      <c r="R137">
        <v>0</v>
      </c>
      <c r="S137">
        <v>0.48</v>
      </c>
      <c r="T137">
        <v>0.47</v>
      </c>
      <c r="U137">
        <v>0.23</v>
      </c>
      <c r="V137">
        <v>0</v>
      </c>
      <c r="W137">
        <v>0</v>
      </c>
      <c r="X137">
        <v>48.34</v>
      </c>
      <c r="Y137">
        <v>168057.19399999999</v>
      </c>
      <c r="Z137" s="254">
        <f t="shared" si="1"/>
        <v>5</v>
      </c>
    </row>
    <row r="138" spans="2:26" hidden="1" x14ac:dyDescent="0.25">
      <c r="B138" t="s">
        <v>284</v>
      </c>
      <c r="C138">
        <v>4003</v>
      </c>
      <c r="D138" t="s">
        <v>291</v>
      </c>
      <c r="E138" s="130">
        <v>45473</v>
      </c>
      <c r="F138" t="s">
        <v>286</v>
      </c>
      <c r="G138">
        <v>42.68</v>
      </c>
      <c r="H138">
        <v>5.8</v>
      </c>
      <c r="I138">
        <v>2.0499999999999998</v>
      </c>
      <c r="J138">
        <v>0.1</v>
      </c>
      <c r="K138">
        <v>0.2</v>
      </c>
      <c r="L138">
        <v>0.46</v>
      </c>
      <c r="M138">
        <v>0.36</v>
      </c>
      <c r="N138">
        <v>-0.01</v>
      </c>
      <c r="O138">
        <v>-0.33</v>
      </c>
      <c r="P138">
        <v>-0.1</v>
      </c>
      <c r="Q138">
        <v>0</v>
      </c>
      <c r="R138">
        <v>0</v>
      </c>
      <c r="S138">
        <v>0.48</v>
      </c>
      <c r="T138">
        <v>0.46</v>
      </c>
      <c r="U138">
        <v>0.23</v>
      </c>
      <c r="V138">
        <v>0</v>
      </c>
      <c r="W138">
        <v>0</v>
      </c>
      <c r="X138">
        <v>52.4</v>
      </c>
      <c r="Y138">
        <v>425797.35100000002</v>
      </c>
      <c r="Z138" s="254">
        <f t="shared" si="1"/>
        <v>6</v>
      </c>
    </row>
    <row r="139" spans="2:26" hidden="1" x14ac:dyDescent="0.25">
      <c r="B139" t="s">
        <v>284</v>
      </c>
      <c r="C139">
        <v>4003</v>
      </c>
      <c r="D139" t="s">
        <v>291</v>
      </c>
      <c r="E139" s="130">
        <v>45473</v>
      </c>
      <c r="F139" t="s">
        <v>287</v>
      </c>
      <c r="G139">
        <v>35.29</v>
      </c>
      <c r="H139">
        <v>5.8</v>
      </c>
      <c r="I139">
        <v>1.79</v>
      </c>
      <c r="J139">
        <v>0.09</v>
      </c>
      <c r="K139">
        <v>0.16</v>
      </c>
      <c r="L139">
        <v>0</v>
      </c>
      <c r="M139">
        <v>0.18</v>
      </c>
      <c r="N139">
        <v>-0.01</v>
      </c>
      <c r="O139">
        <v>-0.23</v>
      </c>
      <c r="P139">
        <v>-0.1</v>
      </c>
      <c r="Q139">
        <v>0</v>
      </c>
      <c r="R139">
        <v>0</v>
      </c>
      <c r="S139">
        <v>0.48</v>
      </c>
      <c r="T139">
        <v>0.46</v>
      </c>
      <c r="U139">
        <v>0.23</v>
      </c>
      <c r="V139">
        <v>0</v>
      </c>
      <c r="W139">
        <v>0</v>
      </c>
      <c r="X139">
        <v>44.14</v>
      </c>
      <c r="Y139">
        <v>215231.367</v>
      </c>
      <c r="Z139" s="254">
        <f t="shared" si="1"/>
        <v>6</v>
      </c>
    </row>
    <row r="140" spans="2:26" hidden="1" x14ac:dyDescent="0.25">
      <c r="B140" t="s">
        <v>284</v>
      </c>
      <c r="C140">
        <v>4003</v>
      </c>
      <c r="D140" t="s">
        <v>291</v>
      </c>
      <c r="E140" s="130">
        <v>45473</v>
      </c>
      <c r="F140" t="s">
        <v>288</v>
      </c>
      <c r="G140">
        <v>50.91</v>
      </c>
      <c r="H140">
        <v>5.8</v>
      </c>
      <c r="I140">
        <v>2.35</v>
      </c>
      <c r="J140">
        <v>0.11</v>
      </c>
      <c r="K140">
        <v>0.25</v>
      </c>
      <c r="L140">
        <v>0.98</v>
      </c>
      <c r="M140">
        <v>0.56000000000000005</v>
      </c>
      <c r="N140">
        <v>-0.02</v>
      </c>
      <c r="O140">
        <v>-0.43</v>
      </c>
      <c r="P140">
        <v>-0.1</v>
      </c>
      <c r="Q140">
        <v>0</v>
      </c>
      <c r="R140">
        <v>0</v>
      </c>
      <c r="S140">
        <v>0.48</v>
      </c>
      <c r="T140">
        <v>0.46</v>
      </c>
      <c r="U140">
        <v>0.23</v>
      </c>
      <c r="V140">
        <v>0</v>
      </c>
      <c r="W140">
        <v>0</v>
      </c>
      <c r="X140">
        <v>61.59</v>
      </c>
      <c r="Y140">
        <v>210565.984</v>
      </c>
      <c r="Z140" s="254">
        <f t="shared" si="1"/>
        <v>6</v>
      </c>
    </row>
    <row r="141" spans="2:26" hidden="1" x14ac:dyDescent="0.25">
      <c r="B141" t="s">
        <v>284</v>
      </c>
      <c r="C141">
        <v>4003</v>
      </c>
      <c r="D141" t="s">
        <v>291</v>
      </c>
      <c r="E141" s="130">
        <v>45504</v>
      </c>
      <c r="F141" t="s">
        <v>286</v>
      </c>
      <c r="G141">
        <v>38.729999999999997</v>
      </c>
      <c r="H141">
        <v>6.6</v>
      </c>
      <c r="I141">
        <v>0.81</v>
      </c>
      <c r="J141">
        <v>7.0000000000000007E-2</v>
      </c>
      <c r="K141">
        <v>0.21</v>
      </c>
      <c r="L141">
        <v>0.53</v>
      </c>
      <c r="M141">
        <v>0.32</v>
      </c>
      <c r="N141">
        <v>0.01</v>
      </c>
      <c r="O141">
        <v>-0.11</v>
      </c>
      <c r="P141">
        <v>-0.11</v>
      </c>
      <c r="Q141">
        <v>-0.01</v>
      </c>
      <c r="R141">
        <v>0</v>
      </c>
      <c r="S141">
        <v>0.48</v>
      </c>
      <c r="T141">
        <v>0.46</v>
      </c>
      <c r="U141">
        <v>0.23</v>
      </c>
      <c r="V141">
        <v>0</v>
      </c>
      <c r="W141">
        <v>0</v>
      </c>
      <c r="X141">
        <v>48.22</v>
      </c>
      <c r="Y141">
        <v>396269.35200000001</v>
      </c>
      <c r="Z141" s="254">
        <f t="shared" ref="Z141:Z204" si="2">MONTH(E141)</f>
        <v>7</v>
      </c>
    </row>
    <row r="142" spans="2:26" hidden="1" x14ac:dyDescent="0.25">
      <c r="B142" t="s">
        <v>284</v>
      </c>
      <c r="C142">
        <v>4003</v>
      </c>
      <c r="D142" t="s">
        <v>291</v>
      </c>
      <c r="E142" s="130">
        <v>45504</v>
      </c>
      <c r="F142" t="s">
        <v>287</v>
      </c>
      <c r="G142">
        <v>29.18</v>
      </c>
      <c r="H142">
        <v>6.6</v>
      </c>
      <c r="I142">
        <v>0.68</v>
      </c>
      <c r="J142">
        <v>0.06</v>
      </c>
      <c r="K142">
        <v>0.14000000000000001</v>
      </c>
      <c r="L142">
        <v>0</v>
      </c>
      <c r="M142">
        <v>0.01</v>
      </c>
      <c r="N142">
        <v>0.01</v>
      </c>
      <c r="O142">
        <v>-0.14000000000000001</v>
      </c>
      <c r="P142">
        <v>-0.11</v>
      </c>
      <c r="Q142">
        <v>0</v>
      </c>
      <c r="R142">
        <v>0</v>
      </c>
      <c r="S142">
        <v>0.48</v>
      </c>
      <c r="T142">
        <v>0.46</v>
      </c>
      <c r="U142">
        <v>0.23</v>
      </c>
      <c r="V142">
        <v>0</v>
      </c>
      <c r="W142">
        <v>0</v>
      </c>
      <c r="X142">
        <v>37.6</v>
      </c>
      <c r="Y142">
        <v>205699.06400000001</v>
      </c>
      <c r="Z142" s="254">
        <f t="shared" si="2"/>
        <v>7</v>
      </c>
    </row>
    <row r="143" spans="2:26" hidden="1" x14ac:dyDescent="0.25">
      <c r="B143" t="s">
        <v>284</v>
      </c>
      <c r="C143">
        <v>4003</v>
      </c>
      <c r="D143" t="s">
        <v>291</v>
      </c>
      <c r="E143" s="130">
        <v>45504</v>
      </c>
      <c r="F143" t="s">
        <v>288</v>
      </c>
      <c r="G143">
        <v>49.36</v>
      </c>
      <c r="H143">
        <v>6.6</v>
      </c>
      <c r="I143">
        <v>0.97</v>
      </c>
      <c r="J143">
        <v>0.09</v>
      </c>
      <c r="K143">
        <v>0.3</v>
      </c>
      <c r="L143">
        <v>1.1299999999999999</v>
      </c>
      <c r="M143">
        <v>0.66</v>
      </c>
      <c r="N143">
        <v>0.01</v>
      </c>
      <c r="O143">
        <v>-0.08</v>
      </c>
      <c r="P143">
        <v>-0.11</v>
      </c>
      <c r="Q143">
        <v>-0.03</v>
      </c>
      <c r="R143">
        <v>0</v>
      </c>
      <c r="S143">
        <v>0.48</v>
      </c>
      <c r="T143">
        <v>0.46</v>
      </c>
      <c r="U143">
        <v>0.23</v>
      </c>
      <c r="V143">
        <v>0</v>
      </c>
      <c r="W143">
        <v>0</v>
      </c>
      <c r="X143">
        <v>60.05</v>
      </c>
      <c r="Y143">
        <v>190570.288</v>
      </c>
      <c r="Z143" s="254">
        <f t="shared" si="2"/>
        <v>7</v>
      </c>
    </row>
    <row r="144" spans="2:26" hidden="1" x14ac:dyDescent="0.25">
      <c r="B144" t="s">
        <v>284</v>
      </c>
      <c r="C144">
        <v>4003</v>
      </c>
      <c r="D144" t="s">
        <v>291</v>
      </c>
      <c r="E144" s="130">
        <v>45535</v>
      </c>
      <c r="F144" t="s">
        <v>286</v>
      </c>
      <c r="G144">
        <v>32.47</v>
      </c>
      <c r="H144">
        <v>7.88</v>
      </c>
      <c r="I144">
        <v>0.54</v>
      </c>
      <c r="J144">
        <v>0.06</v>
      </c>
      <c r="K144">
        <v>0.09</v>
      </c>
      <c r="L144">
        <v>0.65</v>
      </c>
      <c r="M144">
        <v>0.02</v>
      </c>
      <c r="N144">
        <v>0</v>
      </c>
      <c r="O144">
        <v>-0.1</v>
      </c>
      <c r="P144">
        <v>-0.13</v>
      </c>
      <c r="Q144">
        <v>0</v>
      </c>
      <c r="R144">
        <v>0</v>
      </c>
      <c r="S144">
        <v>0.48</v>
      </c>
      <c r="T144">
        <v>0.47</v>
      </c>
      <c r="U144">
        <v>0.23</v>
      </c>
      <c r="V144">
        <v>0</v>
      </c>
      <c r="W144">
        <v>0</v>
      </c>
      <c r="X144">
        <v>42.66</v>
      </c>
      <c r="Y144">
        <v>342319.701</v>
      </c>
      <c r="Z144" s="254">
        <f t="shared" si="2"/>
        <v>8</v>
      </c>
    </row>
    <row r="145" spans="2:26" hidden="1" x14ac:dyDescent="0.25">
      <c r="B145" t="s">
        <v>284</v>
      </c>
      <c r="C145">
        <v>4003</v>
      </c>
      <c r="D145" t="s">
        <v>291</v>
      </c>
      <c r="E145" s="130">
        <v>45535</v>
      </c>
      <c r="F145" t="s">
        <v>287</v>
      </c>
      <c r="G145">
        <v>29.93</v>
      </c>
      <c r="H145">
        <v>7.88</v>
      </c>
      <c r="I145">
        <v>0.56000000000000005</v>
      </c>
      <c r="J145">
        <v>0.06</v>
      </c>
      <c r="K145">
        <v>7.0000000000000007E-2</v>
      </c>
      <c r="L145">
        <v>0</v>
      </c>
      <c r="M145">
        <v>0.02</v>
      </c>
      <c r="N145">
        <v>0</v>
      </c>
      <c r="O145">
        <v>-0.12</v>
      </c>
      <c r="P145">
        <v>-0.13</v>
      </c>
      <c r="Q145">
        <v>0</v>
      </c>
      <c r="R145">
        <v>0</v>
      </c>
      <c r="S145">
        <v>0.48</v>
      </c>
      <c r="T145">
        <v>0.47</v>
      </c>
      <c r="U145">
        <v>0.23</v>
      </c>
      <c r="V145">
        <v>0</v>
      </c>
      <c r="W145">
        <v>0</v>
      </c>
      <c r="X145">
        <v>39.46</v>
      </c>
      <c r="Y145">
        <v>187244.64</v>
      </c>
      <c r="Z145" s="254">
        <f t="shared" si="2"/>
        <v>8</v>
      </c>
    </row>
    <row r="146" spans="2:26" hidden="1" x14ac:dyDescent="0.25">
      <c r="B146" t="s">
        <v>284</v>
      </c>
      <c r="C146">
        <v>4003</v>
      </c>
      <c r="D146" t="s">
        <v>291</v>
      </c>
      <c r="E146" s="130">
        <v>45535</v>
      </c>
      <c r="F146" t="s">
        <v>288</v>
      </c>
      <c r="G146">
        <v>35.65</v>
      </c>
      <c r="H146">
        <v>7.88</v>
      </c>
      <c r="I146">
        <v>0.52</v>
      </c>
      <c r="J146">
        <v>0.06</v>
      </c>
      <c r="K146">
        <v>0.11</v>
      </c>
      <c r="L146">
        <v>1.46</v>
      </c>
      <c r="M146">
        <v>0.03</v>
      </c>
      <c r="N146">
        <v>-0.01</v>
      </c>
      <c r="O146">
        <v>-0.09</v>
      </c>
      <c r="P146">
        <v>-0.13</v>
      </c>
      <c r="Q146">
        <v>0</v>
      </c>
      <c r="R146">
        <v>0</v>
      </c>
      <c r="S146">
        <v>0.48</v>
      </c>
      <c r="T146">
        <v>0.47</v>
      </c>
      <c r="U146">
        <v>0.23</v>
      </c>
      <c r="V146">
        <v>0</v>
      </c>
      <c r="W146">
        <v>0</v>
      </c>
      <c r="X146">
        <v>46.66</v>
      </c>
      <c r="Y146">
        <v>155075.06099999999</v>
      </c>
      <c r="Z146" s="254">
        <f t="shared" si="2"/>
        <v>8</v>
      </c>
    </row>
    <row r="147" spans="2:26" hidden="1" x14ac:dyDescent="0.25">
      <c r="B147" t="s">
        <v>284</v>
      </c>
      <c r="C147">
        <v>4003</v>
      </c>
      <c r="D147" t="s">
        <v>291</v>
      </c>
      <c r="E147" s="130">
        <v>45565</v>
      </c>
      <c r="F147" t="s">
        <v>286</v>
      </c>
      <c r="G147">
        <v>35.29</v>
      </c>
      <c r="H147">
        <v>7.88</v>
      </c>
      <c r="I147">
        <v>0.64</v>
      </c>
      <c r="J147">
        <v>0.09</v>
      </c>
      <c r="K147">
        <v>0.16</v>
      </c>
      <c r="L147">
        <v>0.48</v>
      </c>
      <c r="M147">
        <v>0.02</v>
      </c>
      <c r="N147">
        <v>0</v>
      </c>
      <c r="O147">
        <v>-0.15</v>
      </c>
      <c r="P147">
        <v>-0.14000000000000001</v>
      </c>
      <c r="Q147">
        <v>0</v>
      </c>
      <c r="R147">
        <v>0</v>
      </c>
      <c r="S147">
        <v>0.48</v>
      </c>
      <c r="T147">
        <v>0.46</v>
      </c>
      <c r="U147">
        <v>0.23</v>
      </c>
      <c r="V147">
        <v>0</v>
      </c>
      <c r="W147">
        <v>0</v>
      </c>
      <c r="X147">
        <v>45.45</v>
      </c>
      <c r="Y147">
        <v>363454.80599999998</v>
      </c>
      <c r="Z147" s="254">
        <f t="shared" si="2"/>
        <v>9</v>
      </c>
    </row>
    <row r="148" spans="2:26" hidden="1" x14ac:dyDescent="0.25">
      <c r="B148" t="s">
        <v>284</v>
      </c>
      <c r="C148">
        <v>4003</v>
      </c>
      <c r="D148" t="s">
        <v>291</v>
      </c>
      <c r="E148" s="130">
        <v>45565</v>
      </c>
      <c r="F148" t="s">
        <v>287</v>
      </c>
      <c r="G148">
        <v>30.83</v>
      </c>
      <c r="H148">
        <v>7.88</v>
      </c>
      <c r="I148">
        <v>0.56000000000000005</v>
      </c>
      <c r="J148">
        <v>0.09</v>
      </c>
      <c r="K148">
        <v>0.16</v>
      </c>
      <c r="L148">
        <v>0</v>
      </c>
      <c r="M148">
        <v>0.02</v>
      </c>
      <c r="N148">
        <v>0</v>
      </c>
      <c r="O148">
        <v>-0.12</v>
      </c>
      <c r="P148">
        <v>-0.14000000000000001</v>
      </c>
      <c r="Q148">
        <v>0</v>
      </c>
      <c r="R148">
        <v>0</v>
      </c>
      <c r="S148">
        <v>0.48</v>
      </c>
      <c r="T148">
        <v>0.46</v>
      </c>
      <c r="U148">
        <v>0.23</v>
      </c>
      <c r="V148">
        <v>0</v>
      </c>
      <c r="W148">
        <v>0</v>
      </c>
      <c r="X148">
        <v>40.450000000000003</v>
      </c>
      <c r="Y148">
        <v>176290.51</v>
      </c>
      <c r="Z148" s="254">
        <f t="shared" si="2"/>
        <v>9</v>
      </c>
    </row>
    <row r="149" spans="2:26" hidden="1" x14ac:dyDescent="0.25">
      <c r="B149" t="s">
        <v>284</v>
      </c>
      <c r="C149">
        <v>4003</v>
      </c>
      <c r="D149" t="s">
        <v>291</v>
      </c>
      <c r="E149" s="130">
        <v>45565</v>
      </c>
      <c r="F149" t="s">
        <v>288</v>
      </c>
      <c r="G149">
        <v>39.85</v>
      </c>
      <c r="H149">
        <v>7.88</v>
      </c>
      <c r="I149">
        <v>0.71</v>
      </c>
      <c r="J149">
        <v>0.1</v>
      </c>
      <c r="K149">
        <v>0.16</v>
      </c>
      <c r="L149">
        <v>0.97</v>
      </c>
      <c r="M149">
        <v>0.03</v>
      </c>
      <c r="N149">
        <v>0</v>
      </c>
      <c r="O149">
        <v>-0.18</v>
      </c>
      <c r="P149">
        <v>-0.14000000000000001</v>
      </c>
      <c r="Q149">
        <v>0</v>
      </c>
      <c r="R149">
        <v>0</v>
      </c>
      <c r="S149">
        <v>0.48</v>
      </c>
      <c r="T149">
        <v>0.46</v>
      </c>
      <c r="U149">
        <v>0.23</v>
      </c>
      <c r="V149">
        <v>0</v>
      </c>
      <c r="W149">
        <v>0</v>
      </c>
      <c r="X149">
        <v>50.55</v>
      </c>
      <c r="Y149">
        <v>187164.296</v>
      </c>
      <c r="Z149" s="254">
        <f t="shared" si="2"/>
        <v>9</v>
      </c>
    </row>
    <row r="150" spans="2:26" hidden="1" x14ac:dyDescent="0.25">
      <c r="B150" t="s">
        <v>284</v>
      </c>
      <c r="C150">
        <v>4003</v>
      </c>
      <c r="D150" t="s">
        <v>291</v>
      </c>
      <c r="E150" s="130">
        <v>45596</v>
      </c>
      <c r="F150" t="s">
        <v>286</v>
      </c>
      <c r="G150">
        <v>40.42</v>
      </c>
      <c r="H150">
        <v>7.51</v>
      </c>
      <c r="I150">
        <v>0.49</v>
      </c>
      <c r="J150">
        <v>0.11</v>
      </c>
      <c r="K150">
        <v>0.23</v>
      </c>
      <c r="L150">
        <v>0.48</v>
      </c>
      <c r="M150">
        <v>0.02</v>
      </c>
      <c r="N150">
        <v>0</v>
      </c>
      <c r="O150">
        <v>-0.3</v>
      </c>
      <c r="P150">
        <v>-0.15</v>
      </c>
      <c r="Q150">
        <v>0</v>
      </c>
      <c r="R150">
        <v>0</v>
      </c>
      <c r="S150">
        <v>0.48</v>
      </c>
      <c r="T150">
        <v>0.47</v>
      </c>
      <c r="U150">
        <v>0.23</v>
      </c>
      <c r="V150">
        <v>0</v>
      </c>
      <c r="W150">
        <v>0</v>
      </c>
      <c r="X150">
        <v>49.98</v>
      </c>
      <c r="Y150">
        <v>400915.32799999998</v>
      </c>
      <c r="Z150" s="254">
        <f t="shared" si="2"/>
        <v>10</v>
      </c>
    </row>
    <row r="151" spans="2:26" hidden="1" x14ac:dyDescent="0.25">
      <c r="B151" t="s">
        <v>284</v>
      </c>
      <c r="C151">
        <v>4003</v>
      </c>
      <c r="D151" t="s">
        <v>291</v>
      </c>
      <c r="E151" s="130">
        <v>45596</v>
      </c>
      <c r="F151" t="s">
        <v>287</v>
      </c>
      <c r="G151">
        <v>36.42</v>
      </c>
      <c r="H151">
        <v>7.51</v>
      </c>
      <c r="I151">
        <v>0.42</v>
      </c>
      <c r="J151">
        <v>0.08</v>
      </c>
      <c r="K151">
        <v>0.17</v>
      </c>
      <c r="L151">
        <v>0</v>
      </c>
      <c r="M151">
        <v>0.01</v>
      </c>
      <c r="N151">
        <v>0.01</v>
      </c>
      <c r="O151">
        <v>-0.28999999999999998</v>
      </c>
      <c r="P151">
        <v>-0.15</v>
      </c>
      <c r="Q151">
        <v>0</v>
      </c>
      <c r="R151">
        <v>0</v>
      </c>
      <c r="S151">
        <v>0.48</v>
      </c>
      <c r="T151">
        <v>0.47</v>
      </c>
      <c r="U151">
        <v>0.23</v>
      </c>
      <c r="V151">
        <v>0</v>
      </c>
      <c r="W151">
        <v>0</v>
      </c>
      <c r="X151">
        <v>45.37</v>
      </c>
      <c r="Y151">
        <v>213315.99</v>
      </c>
      <c r="Z151" s="254">
        <f t="shared" si="2"/>
        <v>10</v>
      </c>
    </row>
    <row r="152" spans="2:26" hidden="1" x14ac:dyDescent="0.25">
      <c r="B152" t="s">
        <v>284</v>
      </c>
      <c r="C152">
        <v>4003</v>
      </c>
      <c r="D152" t="s">
        <v>291</v>
      </c>
      <c r="E152" s="130">
        <v>45596</v>
      </c>
      <c r="F152" t="s">
        <v>288</v>
      </c>
      <c r="G152">
        <v>45.43</v>
      </c>
      <c r="H152">
        <v>7.51</v>
      </c>
      <c r="I152">
        <v>0.57999999999999996</v>
      </c>
      <c r="J152">
        <v>0.14000000000000001</v>
      </c>
      <c r="K152">
        <v>0.3</v>
      </c>
      <c r="L152">
        <v>1.0900000000000001</v>
      </c>
      <c r="M152">
        <v>0.02</v>
      </c>
      <c r="N152">
        <v>0</v>
      </c>
      <c r="O152">
        <v>-0.33</v>
      </c>
      <c r="P152">
        <v>-0.15</v>
      </c>
      <c r="Q152">
        <v>0</v>
      </c>
      <c r="R152">
        <v>0</v>
      </c>
      <c r="S152">
        <v>0.48</v>
      </c>
      <c r="T152">
        <v>0.47</v>
      </c>
      <c r="U152">
        <v>0.23</v>
      </c>
      <c r="V152">
        <v>0</v>
      </c>
      <c r="W152">
        <v>0</v>
      </c>
      <c r="X152">
        <v>55.76</v>
      </c>
      <c r="Y152">
        <v>187599.33799999999</v>
      </c>
      <c r="Z152" s="254">
        <f t="shared" si="2"/>
        <v>10</v>
      </c>
    </row>
    <row r="153" spans="2:26" hidden="1" x14ac:dyDescent="0.25">
      <c r="B153" t="s">
        <v>284</v>
      </c>
      <c r="C153">
        <v>4003</v>
      </c>
      <c r="D153" t="s">
        <v>291</v>
      </c>
      <c r="E153" s="130">
        <v>45626</v>
      </c>
      <c r="F153" t="s">
        <v>286</v>
      </c>
      <c r="G153">
        <v>82.46</v>
      </c>
      <c r="H153">
        <v>6.18</v>
      </c>
      <c r="I153">
        <v>0.6</v>
      </c>
      <c r="J153">
        <v>0.11</v>
      </c>
      <c r="K153">
        <v>0.17</v>
      </c>
      <c r="L153">
        <v>0.39</v>
      </c>
      <c r="M153">
        <v>0.04</v>
      </c>
      <c r="N153">
        <v>0.01</v>
      </c>
      <c r="O153">
        <v>-0.59</v>
      </c>
      <c r="P153">
        <v>-0.26</v>
      </c>
      <c r="Q153">
        <v>0</v>
      </c>
      <c r="R153">
        <v>0</v>
      </c>
      <c r="S153">
        <v>0.48</v>
      </c>
      <c r="T153">
        <v>0.46</v>
      </c>
      <c r="U153">
        <v>0.23</v>
      </c>
      <c r="V153">
        <v>2.58</v>
      </c>
      <c r="W153">
        <v>0</v>
      </c>
      <c r="X153">
        <v>92.85</v>
      </c>
      <c r="Y153">
        <v>500680.39299999998</v>
      </c>
      <c r="Z153" s="254">
        <f t="shared" si="2"/>
        <v>11</v>
      </c>
    </row>
    <row r="154" spans="2:26" hidden="1" x14ac:dyDescent="0.25">
      <c r="B154" t="s">
        <v>284</v>
      </c>
      <c r="C154">
        <v>4003</v>
      </c>
      <c r="D154" t="s">
        <v>291</v>
      </c>
      <c r="E154" s="130">
        <v>45626</v>
      </c>
      <c r="F154" t="s">
        <v>287</v>
      </c>
      <c r="G154">
        <v>77.959999999999994</v>
      </c>
      <c r="H154">
        <v>6.18</v>
      </c>
      <c r="I154">
        <v>0.59</v>
      </c>
      <c r="J154">
        <v>0.09</v>
      </c>
      <c r="K154">
        <v>0.18</v>
      </c>
      <c r="L154">
        <v>0</v>
      </c>
      <c r="M154">
        <v>0.03</v>
      </c>
      <c r="N154">
        <v>0.01</v>
      </c>
      <c r="O154">
        <v>-0.57999999999999996</v>
      </c>
      <c r="P154">
        <v>-0.26</v>
      </c>
      <c r="Q154">
        <v>0</v>
      </c>
      <c r="R154">
        <v>0</v>
      </c>
      <c r="S154">
        <v>0.48</v>
      </c>
      <c r="T154">
        <v>0.46</v>
      </c>
      <c r="U154">
        <v>0.23</v>
      </c>
      <c r="V154">
        <v>2.61</v>
      </c>
      <c r="W154">
        <v>0</v>
      </c>
      <c r="X154">
        <v>87.98</v>
      </c>
      <c r="Y154">
        <v>263641.34000000003</v>
      </c>
      <c r="Z154" s="254">
        <f t="shared" si="2"/>
        <v>11</v>
      </c>
    </row>
    <row r="155" spans="2:26" hidden="1" x14ac:dyDescent="0.25">
      <c r="B155" t="s">
        <v>284</v>
      </c>
      <c r="C155">
        <v>4003</v>
      </c>
      <c r="D155" t="s">
        <v>291</v>
      </c>
      <c r="E155" s="130">
        <v>45626</v>
      </c>
      <c r="F155" t="s">
        <v>288</v>
      </c>
      <c r="G155">
        <v>87.92</v>
      </c>
      <c r="H155">
        <v>6.18</v>
      </c>
      <c r="I155">
        <v>0.61</v>
      </c>
      <c r="J155">
        <v>0.13</v>
      </c>
      <c r="K155">
        <v>0.15</v>
      </c>
      <c r="L155">
        <v>0.86</v>
      </c>
      <c r="M155">
        <v>0.05</v>
      </c>
      <c r="N155">
        <v>0</v>
      </c>
      <c r="O155">
        <v>-0.59</v>
      </c>
      <c r="P155">
        <v>-0.26</v>
      </c>
      <c r="Q155">
        <v>-0.01</v>
      </c>
      <c r="R155">
        <v>0</v>
      </c>
      <c r="S155">
        <v>0.48</v>
      </c>
      <c r="T155">
        <v>0.46</v>
      </c>
      <c r="U155">
        <v>0.23</v>
      </c>
      <c r="V155">
        <v>2.5499999999999998</v>
      </c>
      <c r="W155">
        <v>0</v>
      </c>
      <c r="X155">
        <v>98.76</v>
      </c>
      <c r="Y155">
        <v>237039.05300000001</v>
      </c>
      <c r="Z155" s="254">
        <f t="shared" si="2"/>
        <v>11</v>
      </c>
    </row>
    <row r="156" spans="2:26" hidden="1" x14ac:dyDescent="0.25">
      <c r="B156" t="s">
        <v>284</v>
      </c>
      <c r="C156">
        <v>4004</v>
      </c>
      <c r="D156" t="s">
        <v>292</v>
      </c>
      <c r="E156" s="130">
        <v>45291</v>
      </c>
      <c r="F156" t="s">
        <v>286</v>
      </c>
      <c r="G156">
        <v>62.78</v>
      </c>
      <c r="H156">
        <v>8.8800000000000008</v>
      </c>
      <c r="I156">
        <v>0.67</v>
      </c>
      <c r="J156">
        <v>0.08</v>
      </c>
      <c r="K156">
        <v>0.21</v>
      </c>
      <c r="L156">
        <v>0.46</v>
      </c>
      <c r="M156">
        <v>0.04</v>
      </c>
      <c r="N156">
        <v>0.01</v>
      </c>
      <c r="O156">
        <v>-0.26</v>
      </c>
      <c r="P156">
        <v>-0.54</v>
      </c>
      <c r="Q156">
        <v>0.01</v>
      </c>
      <c r="R156">
        <v>0</v>
      </c>
      <c r="S156">
        <v>0.48</v>
      </c>
      <c r="T156">
        <v>0.46</v>
      </c>
      <c r="U156">
        <v>0.23</v>
      </c>
      <c r="V156">
        <v>2.52</v>
      </c>
      <c r="W156">
        <v>0</v>
      </c>
      <c r="X156">
        <v>76.03</v>
      </c>
      <c r="Y156">
        <v>2486598.7769999998</v>
      </c>
      <c r="Z156" s="254">
        <f t="shared" si="2"/>
        <v>12</v>
      </c>
    </row>
    <row r="157" spans="2:26" hidden="1" x14ac:dyDescent="0.25">
      <c r="B157" t="s">
        <v>284</v>
      </c>
      <c r="C157">
        <v>4004</v>
      </c>
      <c r="D157" t="s">
        <v>292</v>
      </c>
      <c r="E157" s="130">
        <v>45291</v>
      </c>
      <c r="F157" t="s">
        <v>287</v>
      </c>
      <c r="G157">
        <v>56.14</v>
      </c>
      <c r="H157">
        <v>8.8800000000000008</v>
      </c>
      <c r="I157">
        <v>0.56999999999999995</v>
      </c>
      <c r="J157">
        <v>7.0000000000000007E-2</v>
      </c>
      <c r="K157">
        <v>0.2</v>
      </c>
      <c r="L157">
        <v>0</v>
      </c>
      <c r="M157">
        <v>0.03</v>
      </c>
      <c r="N157">
        <v>0.02</v>
      </c>
      <c r="O157">
        <v>-0.24</v>
      </c>
      <c r="P157">
        <v>-0.54</v>
      </c>
      <c r="Q157">
        <v>0</v>
      </c>
      <c r="R157">
        <v>0</v>
      </c>
      <c r="S157">
        <v>0.48</v>
      </c>
      <c r="T157">
        <v>0.46</v>
      </c>
      <c r="U157">
        <v>0.23</v>
      </c>
      <c r="V157">
        <v>2.61</v>
      </c>
      <c r="W157">
        <v>0</v>
      </c>
      <c r="X157">
        <v>68.900000000000006</v>
      </c>
      <c r="Y157">
        <v>1209534.1129999999</v>
      </c>
      <c r="Z157" s="254">
        <f t="shared" si="2"/>
        <v>12</v>
      </c>
    </row>
    <row r="158" spans="2:26" hidden="1" x14ac:dyDescent="0.25">
      <c r="B158" t="s">
        <v>284</v>
      </c>
      <c r="C158">
        <v>4004</v>
      </c>
      <c r="D158" t="s">
        <v>292</v>
      </c>
      <c r="E158" s="130">
        <v>45291</v>
      </c>
      <c r="F158" t="s">
        <v>288</v>
      </c>
      <c r="G158">
        <v>70.17</v>
      </c>
      <c r="H158">
        <v>8.8800000000000008</v>
      </c>
      <c r="I158">
        <v>0.79</v>
      </c>
      <c r="J158">
        <v>0.1</v>
      </c>
      <c r="K158">
        <v>0.22</v>
      </c>
      <c r="L158">
        <v>0.98</v>
      </c>
      <c r="M158">
        <v>0.06</v>
      </c>
      <c r="N158">
        <v>0</v>
      </c>
      <c r="O158">
        <v>-0.28999999999999998</v>
      </c>
      <c r="P158">
        <v>-0.54</v>
      </c>
      <c r="Q158">
        <v>0.01</v>
      </c>
      <c r="R158">
        <v>0</v>
      </c>
      <c r="S158">
        <v>0.48</v>
      </c>
      <c r="T158">
        <v>0.46</v>
      </c>
      <c r="U158">
        <v>0.23</v>
      </c>
      <c r="V158">
        <v>2.42</v>
      </c>
      <c r="W158">
        <v>0</v>
      </c>
      <c r="X158">
        <v>83.97</v>
      </c>
      <c r="Y158">
        <v>1277064.6640000001</v>
      </c>
      <c r="Z158" s="254">
        <f t="shared" si="2"/>
        <v>12</v>
      </c>
    </row>
    <row r="159" spans="2:26" hidden="1" x14ac:dyDescent="0.25">
      <c r="B159" t="s">
        <v>284</v>
      </c>
      <c r="C159">
        <v>4004</v>
      </c>
      <c r="D159" t="s">
        <v>292</v>
      </c>
      <c r="E159" s="130">
        <v>45322</v>
      </c>
      <c r="F159" t="s">
        <v>286</v>
      </c>
      <c r="G159">
        <v>30.7</v>
      </c>
      <c r="H159">
        <v>10.38</v>
      </c>
      <c r="I159">
        <v>0.5</v>
      </c>
      <c r="J159">
        <v>0.05</v>
      </c>
      <c r="K159">
        <v>0.13</v>
      </c>
      <c r="L159">
        <v>0.54</v>
      </c>
      <c r="M159">
        <v>0.03</v>
      </c>
      <c r="N159">
        <v>0</v>
      </c>
      <c r="O159">
        <v>-0.16</v>
      </c>
      <c r="P159">
        <v>-0.53</v>
      </c>
      <c r="Q159">
        <v>0</v>
      </c>
      <c r="R159">
        <v>0</v>
      </c>
      <c r="S159">
        <v>0.48</v>
      </c>
      <c r="T159">
        <v>0.49</v>
      </c>
      <c r="U159">
        <v>0.23</v>
      </c>
      <c r="V159">
        <v>2.64</v>
      </c>
      <c r="W159">
        <v>0</v>
      </c>
      <c r="X159">
        <v>45.47</v>
      </c>
      <c r="Y159">
        <v>2172994.1260000002</v>
      </c>
      <c r="Z159" s="254">
        <f t="shared" si="2"/>
        <v>1</v>
      </c>
    </row>
    <row r="160" spans="2:26" hidden="1" x14ac:dyDescent="0.25">
      <c r="B160" t="s">
        <v>284</v>
      </c>
      <c r="C160">
        <v>4004</v>
      </c>
      <c r="D160" t="s">
        <v>292</v>
      </c>
      <c r="E160" s="130">
        <v>45322</v>
      </c>
      <c r="F160" t="s">
        <v>287</v>
      </c>
      <c r="G160">
        <v>29.21</v>
      </c>
      <c r="H160">
        <v>10.38</v>
      </c>
      <c r="I160">
        <v>0.55000000000000004</v>
      </c>
      <c r="J160">
        <v>0.05</v>
      </c>
      <c r="K160">
        <v>0.12</v>
      </c>
      <c r="L160">
        <v>0</v>
      </c>
      <c r="M160">
        <v>0.02</v>
      </c>
      <c r="N160">
        <v>0</v>
      </c>
      <c r="O160">
        <v>-0.14000000000000001</v>
      </c>
      <c r="P160">
        <v>-0.53</v>
      </c>
      <c r="Q160">
        <v>0</v>
      </c>
      <c r="R160">
        <v>0</v>
      </c>
      <c r="S160">
        <v>0.48</v>
      </c>
      <c r="T160">
        <v>0.49</v>
      </c>
      <c r="U160">
        <v>0.23</v>
      </c>
      <c r="V160">
        <v>2.68</v>
      </c>
      <c r="W160">
        <v>0</v>
      </c>
      <c r="X160">
        <v>43.53</v>
      </c>
      <c r="Y160">
        <v>1046175.982</v>
      </c>
      <c r="Z160" s="254">
        <f t="shared" si="2"/>
        <v>1</v>
      </c>
    </row>
    <row r="161" spans="2:26" hidden="1" x14ac:dyDescent="0.25">
      <c r="B161" t="s">
        <v>284</v>
      </c>
      <c r="C161">
        <v>4004</v>
      </c>
      <c r="D161" t="s">
        <v>292</v>
      </c>
      <c r="E161" s="130">
        <v>45322</v>
      </c>
      <c r="F161" t="s">
        <v>288</v>
      </c>
      <c r="G161">
        <v>32.299999999999997</v>
      </c>
      <c r="H161">
        <v>10.38</v>
      </c>
      <c r="I161">
        <v>0.45</v>
      </c>
      <c r="J161">
        <v>0.04</v>
      </c>
      <c r="K161">
        <v>0.14000000000000001</v>
      </c>
      <c r="L161">
        <v>1.1100000000000001</v>
      </c>
      <c r="M161">
        <v>0.03</v>
      </c>
      <c r="N161">
        <v>0</v>
      </c>
      <c r="O161">
        <v>-0.19</v>
      </c>
      <c r="P161">
        <v>-0.53</v>
      </c>
      <c r="Q161">
        <v>0</v>
      </c>
      <c r="R161">
        <v>0</v>
      </c>
      <c r="S161">
        <v>0.48</v>
      </c>
      <c r="T161">
        <v>0.49</v>
      </c>
      <c r="U161">
        <v>0.23</v>
      </c>
      <c r="V161">
        <v>2.59</v>
      </c>
      <c r="W161">
        <v>0</v>
      </c>
      <c r="X161">
        <v>47.54</v>
      </c>
      <c r="Y161">
        <v>1126818.1440000001</v>
      </c>
      <c r="Z161" s="254">
        <f t="shared" si="2"/>
        <v>1</v>
      </c>
    </row>
    <row r="162" spans="2:26" hidden="1" x14ac:dyDescent="0.25">
      <c r="B162" t="s">
        <v>284</v>
      </c>
      <c r="C162">
        <v>4004</v>
      </c>
      <c r="D162" t="s">
        <v>292</v>
      </c>
      <c r="E162" s="130">
        <v>45351</v>
      </c>
      <c r="F162" t="s">
        <v>286</v>
      </c>
      <c r="G162">
        <v>22.76</v>
      </c>
      <c r="H162">
        <v>10.52</v>
      </c>
      <c r="I162">
        <v>0.41</v>
      </c>
      <c r="J162">
        <v>0.05</v>
      </c>
      <c r="K162">
        <v>0.1</v>
      </c>
      <c r="L162">
        <v>0.55000000000000004</v>
      </c>
      <c r="M162">
        <v>0.02</v>
      </c>
      <c r="N162">
        <v>-0.01</v>
      </c>
      <c r="O162">
        <v>-0.06</v>
      </c>
      <c r="P162">
        <v>-0.17</v>
      </c>
      <c r="Q162">
        <v>0</v>
      </c>
      <c r="R162">
        <v>0</v>
      </c>
      <c r="S162">
        <v>0.48</v>
      </c>
      <c r="T162">
        <v>0.46</v>
      </c>
      <c r="U162">
        <v>0.23</v>
      </c>
      <c r="V162">
        <v>0</v>
      </c>
      <c r="W162">
        <v>0</v>
      </c>
      <c r="X162">
        <v>35.340000000000003</v>
      </c>
      <c r="Y162">
        <v>2069006.743</v>
      </c>
      <c r="Z162" s="254">
        <f t="shared" si="2"/>
        <v>2</v>
      </c>
    </row>
    <row r="163" spans="2:26" hidden="1" x14ac:dyDescent="0.25">
      <c r="B163" t="s">
        <v>284</v>
      </c>
      <c r="C163">
        <v>4004</v>
      </c>
      <c r="D163" t="s">
        <v>292</v>
      </c>
      <c r="E163" s="130">
        <v>45351</v>
      </c>
      <c r="F163" t="s">
        <v>287</v>
      </c>
      <c r="G163">
        <v>21.82</v>
      </c>
      <c r="H163">
        <v>10.52</v>
      </c>
      <c r="I163">
        <v>0.34</v>
      </c>
      <c r="J163">
        <v>0.04</v>
      </c>
      <c r="K163">
        <v>0.1</v>
      </c>
      <c r="L163">
        <v>0</v>
      </c>
      <c r="M163">
        <v>0.02</v>
      </c>
      <c r="N163">
        <v>0</v>
      </c>
      <c r="O163">
        <v>-0.04</v>
      </c>
      <c r="P163">
        <v>-0.17</v>
      </c>
      <c r="Q163">
        <v>0</v>
      </c>
      <c r="R163">
        <v>0</v>
      </c>
      <c r="S163">
        <v>0.48</v>
      </c>
      <c r="T163">
        <v>0.46</v>
      </c>
      <c r="U163">
        <v>0.23</v>
      </c>
      <c r="V163">
        <v>0</v>
      </c>
      <c r="W163">
        <v>0</v>
      </c>
      <c r="X163">
        <v>33.79</v>
      </c>
      <c r="Y163">
        <v>1065006.6200000001</v>
      </c>
      <c r="Z163" s="254">
        <f t="shared" si="2"/>
        <v>2</v>
      </c>
    </row>
    <row r="164" spans="2:26" hidden="1" x14ac:dyDescent="0.25">
      <c r="B164" t="s">
        <v>284</v>
      </c>
      <c r="C164">
        <v>4004</v>
      </c>
      <c r="D164" t="s">
        <v>292</v>
      </c>
      <c r="E164" s="130">
        <v>45351</v>
      </c>
      <c r="F164" t="s">
        <v>288</v>
      </c>
      <c r="G164">
        <v>23.9</v>
      </c>
      <c r="H164">
        <v>10.52</v>
      </c>
      <c r="I164">
        <v>0.5</v>
      </c>
      <c r="J164">
        <v>0.05</v>
      </c>
      <c r="K164">
        <v>0.1</v>
      </c>
      <c r="L164">
        <v>1.21</v>
      </c>
      <c r="M164">
        <v>0.02</v>
      </c>
      <c r="N164">
        <v>-0.01</v>
      </c>
      <c r="O164">
        <v>-7.0000000000000007E-2</v>
      </c>
      <c r="P164">
        <v>-0.17</v>
      </c>
      <c r="Q164">
        <v>0</v>
      </c>
      <c r="R164">
        <v>0</v>
      </c>
      <c r="S164">
        <v>0.48</v>
      </c>
      <c r="T164">
        <v>0.46</v>
      </c>
      <c r="U164">
        <v>0.23</v>
      </c>
      <c r="V164">
        <v>0</v>
      </c>
      <c r="W164">
        <v>0</v>
      </c>
      <c r="X164">
        <v>37.22</v>
      </c>
      <c r="Y164">
        <v>1004000.123</v>
      </c>
      <c r="Z164" s="254">
        <f t="shared" si="2"/>
        <v>2</v>
      </c>
    </row>
    <row r="165" spans="2:26" hidden="1" x14ac:dyDescent="0.25">
      <c r="B165" t="s">
        <v>284</v>
      </c>
      <c r="C165">
        <v>4004</v>
      </c>
      <c r="D165" t="s">
        <v>292</v>
      </c>
      <c r="E165" s="130">
        <v>45382</v>
      </c>
      <c r="F165" t="s">
        <v>286</v>
      </c>
      <c r="G165">
        <v>24.08</v>
      </c>
      <c r="H165">
        <v>11.66</v>
      </c>
      <c r="I165">
        <v>0.54</v>
      </c>
      <c r="J165">
        <v>0.06</v>
      </c>
      <c r="K165">
        <v>0.1</v>
      </c>
      <c r="L165">
        <v>0.55000000000000004</v>
      </c>
      <c r="M165">
        <v>0.02</v>
      </c>
      <c r="N165">
        <v>0</v>
      </c>
      <c r="O165">
        <v>-0.02</v>
      </c>
      <c r="P165">
        <v>-0.17</v>
      </c>
      <c r="Q165">
        <v>0</v>
      </c>
      <c r="R165">
        <v>0</v>
      </c>
      <c r="S165">
        <v>0.48</v>
      </c>
      <c r="T165">
        <v>0.47</v>
      </c>
      <c r="U165">
        <v>0.23</v>
      </c>
      <c r="V165">
        <v>0</v>
      </c>
      <c r="W165">
        <v>0</v>
      </c>
      <c r="X165">
        <v>38.020000000000003</v>
      </c>
      <c r="Y165">
        <v>1871142.311</v>
      </c>
      <c r="Z165" s="254">
        <f t="shared" si="2"/>
        <v>3</v>
      </c>
    </row>
    <row r="166" spans="2:26" hidden="1" x14ac:dyDescent="0.25">
      <c r="B166" t="s">
        <v>284</v>
      </c>
      <c r="C166">
        <v>4004</v>
      </c>
      <c r="D166" t="s">
        <v>292</v>
      </c>
      <c r="E166" s="130">
        <v>45382</v>
      </c>
      <c r="F166" t="s">
        <v>287</v>
      </c>
      <c r="G166">
        <v>23.13</v>
      </c>
      <c r="H166">
        <v>11.66</v>
      </c>
      <c r="I166">
        <v>0.59</v>
      </c>
      <c r="J166">
        <v>0.06</v>
      </c>
      <c r="K166">
        <v>7.0000000000000007E-2</v>
      </c>
      <c r="L166">
        <v>0</v>
      </c>
      <c r="M166">
        <v>0.03</v>
      </c>
      <c r="N166">
        <v>0</v>
      </c>
      <c r="O166">
        <v>0</v>
      </c>
      <c r="P166">
        <v>-0.17</v>
      </c>
      <c r="Q166">
        <v>0</v>
      </c>
      <c r="R166">
        <v>0</v>
      </c>
      <c r="S166">
        <v>0.48</v>
      </c>
      <c r="T166">
        <v>0.47</v>
      </c>
      <c r="U166">
        <v>0.23</v>
      </c>
      <c r="V166">
        <v>0</v>
      </c>
      <c r="W166">
        <v>0</v>
      </c>
      <c r="X166">
        <v>36.54</v>
      </c>
      <c r="Y166">
        <v>880795.35400000005</v>
      </c>
      <c r="Z166" s="254">
        <f t="shared" si="2"/>
        <v>3</v>
      </c>
    </row>
    <row r="167" spans="2:26" hidden="1" x14ac:dyDescent="0.25">
      <c r="B167" t="s">
        <v>284</v>
      </c>
      <c r="C167">
        <v>4004</v>
      </c>
      <c r="D167" t="s">
        <v>292</v>
      </c>
      <c r="E167" s="130">
        <v>45382</v>
      </c>
      <c r="F167" t="s">
        <v>288</v>
      </c>
      <c r="G167">
        <v>25.08</v>
      </c>
      <c r="H167">
        <v>11.66</v>
      </c>
      <c r="I167">
        <v>0.5</v>
      </c>
      <c r="J167">
        <v>0.06</v>
      </c>
      <c r="K167">
        <v>0.13</v>
      </c>
      <c r="L167">
        <v>1.1299999999999999</v>
      </c>
      <c r="M167">
        <v>0.02</v>
      </c>
      <c r="N167">
        <v>0</v>
      </c>
      <c r="O167">
        <v>-0.03</v>
      </c>
      <c r="P167">
        <v>-0.17</v>
      </c>
      <c r="Q167">
        <v>0</v>
      </c>
      <c r="R167">
        <v>0</v>
      </c>
      <c r="S167">
        <v>0.48</v>
      </c>
      <c r="T167">
        <v>0.47</v>
      </c>
      <c r="U167">
        <v>0.23</v>
      </c>
      <c r="V167">
        <v>0</v>
      </c>
      <c r="W167">
        <v>0</v>
      </c>
      <c r="X167">
        <v>39.56</v>
      </c>
      <c r="Y167">
        <v>990346.95700000005</v>
      </c>
      <c r="Z167" s="254">
        <f t="shared" si="2"/>
        <v>3</v>
      </c>
    </row>
    <row r="168" spans="2:26" hidden="1" x14ac:dyDescent="0.25">
      <c r="B168" t="s">
        <v>284</v>
      </c>
      <c r="C168">
        <v>4004</v>
      </c>
      <c r="D168" t="s">
        <v>292</v>
      </c>
      <c r="E168" s="130">
        <v>45412</v>
      </c>
      <c r="F168" t="s">
        <v>286</v>
      </c>
      <c r="G168">
        <v>25.78</v>
      </c>
      <c r="H168">
        <v>11.09</v>
      </c>
      <c r="I168">
        <v>0.5</v>
      </c>
      <c r="J168">
        <v>0.06</v>
      </c>
      <c r="K168">
        <v>7.0000000000000007E-2</v>
      </c>
      <c r="L168">
        <v>0.56000000000000005</v>
      </c>
      <c r="M168">
        <v>0.02</v>
      </c>
      <c r="N168">
        <v>0</v>
      </c>
      <c r="O168">
        <v>-0.06</v>
      </c>
      <c r="P168">
        <v>-0.16</v>
      </c>
      <c r="Q168">
        <v>0</v>
      </c>
      <c r="R168">
        <v>0</v>
      </c>
      <c r="S168">
        <v>0.48</v>
      </c>
      <c r="T168">
        <v>0.46</v>
      </c>
      <c r="U168">
        <v>0.23</v>
      </c>
      <c r="V168">
        <v>0</v>
      </c>
      <c r="W168">
        <v>0</v>
      </c>
      <c r="X168">
        <v>39.03</v>
      </c>
      <c r="Y168">
        <v>1965801.6329999999</v>
      </c>
      <c r="Z168" s="254">
        <f t="shared" si="2"/>
        <v>4</v>
      </c>
    </row>
    <row r="169" spans="2:26" hidden="1" x14ac:dyDescent="0.25">
      <c r="B169" t="s">
        <v>284</v>
      </c>
      <c r="C169">
        <v>4004</v>
      </c>
      <c r="D169" t="s">
        <v>292</v>
      </c>
      <c r="E169" s="130">
        <v>45412</v>
      </c>
      <c r="F169" t="s">
        <v>287</v>
      </c>
      <c r="G169">
        <v>24.56</v>
      </c>
      <c r="H169">
        <v>11.09</v>
      </c>
      <c r="I169">
        <v>0.61</v>
      </c>
      <c r="J169">
        <v>0.06</v>
      </c>
      <c r="K169">
        <v>0.06</v>
      </c>
      <c r="L169">
        <v>0</v>
      </c>
      <c r="M169">
        <v>0.03</v>
      </c>
      <c r="N169">
        <v>0</v>
      </c>
      <c r="O169">
        <v>-0.04</v>
      </c>
      <c r="P169">
        <v>-0.16</v>
      </c>
      <c r="Q169">
        <v>0</v>
      </c>
      <c r="R169">
        <v>0</v>
      </c>
      <c r="S169">
        <v>0.48</v>
      </c>
      <c r="T169">
        <v>0.46</v>
      </c>
      <c r="U169">
        <v>0.23</v>
      </c>
      <c r="V169">
        <v>0</v>
      </c>
      <c r="W169">
        <v>0</v>
      </c>
      <c r="X169">
        <v>37.369999999999997</v>
      </c>
      <c r="Y169">
        <v>936029.55700000003</v>
      </c>
      <c r="Z169" s="254">
        <f t="shared" si="2"/>
        <v>4</v>
      </c>
    </row>
    <row r="170" spans="2:26" hidden="1" x14ac:dyDescent="0.25">
      <c r="B170" t="s">
        <v>284</v>
      </c>
      <c r="C170">
        <v>4004</v>
      </c>
      <c r="D170" t="s">
        <v>292</v>
      </c>
      <c r="E170" s="130">
        <v>45412</v>
      </c>
      <c r="F170" t="s">
        <v>288</v>
      </c>
      <c r="G170">
        <v>27.15</v>
      </c>
      <c r="H170">
        <v>11.09</v>
      </c>
      <c r="I170">
        <v>0.38</v>
      </c>
      <c r="J170">
        <v>0.05</v>
      </c>
      <c r="K170">
        <v>0.08</v>
      </c>
      <c r="L170">
        <v>1.19</v>
      </c>
      <c r="M170">
        <v>0.01</v>
      </c>
      <c r="N170">
        <v>0</v>
      </c>
      <c r="O170">
        <v>-0.08</v>
      </c>
      <c r="P170">
        <v>-0.16</v>
      </c>
      <c r="Q170">
        <v>0</v>
      </c>
      <c r="R170">
        <v>0</v>
      </c>
      <c r="S170">
        <v>0.48</v>
      </c>
      <c r="T170">
        <v>0.46</v>
      </c>
      <c r="U170">
        <v>0.23</v>
      </c>
      <c r="V170">
        <v>0</v>
      </c>
      <c r="W170">
        <v>0</v>
      </c>
      <c r="X170">
        <v>40.880000000000003</v>
      </c>
      <c r="Y170">
        <v>1029772.076</v>
      </c>
      <c r="Z170" s="254">
        <f t="shared" si="2"/>
        <v>4</v>
      </c>
    </row>
    <row r="171" spans="2:26" hidden="1" x14ac:dyDescent="0.25">
      <c r="B171" t="s">
        <v>284</v>
      </c>
      <c r="C171">
        <v>4004</v>
      </c>
      <c r="D171" t="s">
        <v>292</v>
      </c>
      <c r="E171" s="130">
        <v>45443</v>
      </c>
      <c r="F171" t="s">
        <v>286</v>
      </c>
      <c r="G171">
        <v>30.46</v>
      </c>
      <c r="H171">
        <v>11.52</v>
      </c>
      <c r="I171">
        <v>0.67</v>
      </c>
      <c r="J171">
        <v>0.06</v>
      </c>
      <c r="K171">
        <v>0.09</v>
      </c>
      <c r="L171">
        <v>0.53</v>
      </c>
      <c r="M171">
        <v>0.11</v>
      </c>
      <c r="N171">
        <v>0</v>
      </c>
      <c r="O171">
        <v>-0.14000000000000001</v>
      </c>
      <c r="P171">
        <v>-0.11</v>
      </c>
      <c r="Q171">
        <v>-0.01</v>
      </c>
      <c r="R171">
        <v>0</v>
      </c>
      <c r="S171">
        <v>0.48</v>
      </c>
      <c r="T171">
        <v>0.47</v>
      </c>
      <c r="U171">
        <v>0.23</v>
      </c>
      <c r="V171">
        <v>0</v>
      </c>
      <c r="W171">
        <v>0</v>
      </c>
      <c r="X171">
        <v>44.36</v>
      </c>
      <c r="Y171">
        <v>2387571.0040000002</v>
      </c>
      <c r="Z171" s="254">
        <f t="shared" si="2"/>
        <v>5</v>
      </c>
    </row>
    <row r="172" spans="2:26" hidden="1" x14ac:dyDescent="0.25">
      <c r="B172" t="s">
        <v>284</v>
      </c>
      <c r="C172">
        <v>4004</v>
      </c>
      <c r="D172" t="s">
        <v>292</v>
      </c>
      <c r="E172" s="130">
        <v>45443</v>
      </c>
      <c r="F172" t="s">
        <v>287</v>
      </c>
      <c r="G172">
        <v>24.86</v>
      </c>
      <c r="H172">
        <v>11.52</v>
      </c>
      <c r="I172">
        <v>0.54</v>
      </c>
      <c r="J172">
        <v>0.05</v>
      </c>
      <c r="K172">
        <v>0.09</v>
      </c>
      <c r="L172">
        <v>0</v>
      </c>
      <c r="M172">
        <v>0.01</v>
      </c>
      <c r="N172">
        <v>-0.01</v>
      </c>
      <c r="O172">
        <v>-0.11</v>
      </c>
      <c r="P172">
        <v>-0.11</v>
      </c>
      <c r="Q172">
        <v>0</v>
      </c>
      <c r="R172">
        <v>0</v>
      </c>
      <c r="S172">
        <v>0.48</v>
      </c>
      <c r="T172">
        <v>0.47</v>
      </c>
      <c r="U172">
        <v>0.23</v>
      </c>
      <c r="V172">
        <v>0</v>
      </c>
      <c r="W172">
        <v>0</v>
      </c>
      <c r="X172">
        <v>38.020000000000003</v>
      </c>
      <c r="Y172">
        <v>1160286.125</v>
      </c>
      <c r="Z172" s="254">
        <f t="shared" si="2"/>
        <v>5</v>
      </c>
    </row>
    <row r="173" spans="2:26" hidden="1" x14ac:dyDescent="0.25">
      <c r="B173" t="s">
        <v>284</v>
      </c>
      <c r="C173">
        <v>4004</v>
      </c>
      <c r="D173" t="s">
        <v>292</v>
      </c>
      <c r="E173" s="130">
        <v>45443</v>
      </c>
      <c r="F173" t="s">
        <v>288</v>
      </c>
      <c r="G173">
        <v>37.47</v>
      </c>
      <c r="H173">
        <v>11.52</v>
      </c>
      <c r="I173">
        <v>0.84</v>
      </c>
      <c r="J173">
        <v>7.0000000000000007E-2</v>
      </c>
      <c r="K173">
        <v>0.1</v>
      </c>
      <c r="L173">
        <v>1.19</v>
      </c>
      <c r="M173">
        <v>0.24</v>
      </c>
      <c r="N173">
        <v>0</v>
      </c>
      <c r="O173">
        <v>-0.17</v>
      </c>
      <c r="P173">
        <v>-0.11</v>
      </c>
      <c r="Q173">
        <v>-0.03</v>
      </c>
      <c r="R173">
        <v>0</v>
      </c>
      <c r="S173">
        <v>0.48</v>
      </c>
      <c r="T173">
        <v>0.47</v>
      </c>
      <c r="U173">
        <v>0.23</v>
      </c>
      <c r="V173">
        <v>0</v>
      </c>
      <c r="W173">
        <v>0</v>
      </c>
      <c r="X173">
        <v>52.3</v>
      </c>
      <c r="Y173">
        <v>1227284.879</v>
      </c>
      <c r="Z173" s="254">
        <f t="shared" si="2"/>
        <v>5</v>
      </c>
    </row>
    <row r="174" spans="2:26" hidden="1" x14ac:dyDescent="0.25">
      <c r="B174" t="s">
        <v>284</v>
      </c>
      <c r="C174">
        <v>4004</v>
      </c>
      <c r="D174" t="s">
        <v>292</v>
      </c>
      <c r="E174" s="130">
        <v>45473</v>
      </c>
      <c r="F174" t="s">
        <v>286</v>
      </c>
      <c r="G174">
        <v>42</v>
      </c>
      <c r="H174">
        <v>9.5399999999999991</v>
      </c>
      <c r="I174">
        <v>2.0499999999999998</v>
      </c>
      <c r="J174">
        <v>0.1</v>
      </c>
      <c r="K174">
        <v>0.2</v>
      </c>
      <c r="L174">
        <v>0.46</v>
      </c>
      <c r="M174">
        <v>0.36</v>
      </c>
      <c r="N174">
        <v>-0.01</v>
      </c>
      <c r="O174">
        <v>-0.33</v>
      </c>
      <c r="P174">
        <v>-0.12</v>
      </c>
      <c r="Q174">
        <v>-0.01</v>
      </c>
      <c r="R174">
        <v>0</v>
      </c>
      <c r="S174">
        <v>0.48</v>
      </c>
      <c r="T174">
        <v>0.46</v>
      </c>
      <c r="U174">
        <v>0.23</v>
      </c>
      <c r="V174">
        <v>0</v>
      </c>
      <c r="W174">
        <v>0</v>
      </c>
      <c r="X174">
        <v>55.43</v>
      </c>
      <c r="Y174">
        <v>2878737.5210000002</v>
      </c>
      <c r="Z174" s="254">
        <f t="shared" si="2"/>
        <v>6</v>
      </c>
    </row>
    <row r="175" spans="2:26" hidden="1" x14ac:dyDescent="0.25">
      <c r="B175" t="s">
        <v>284</v>
      </c>
      <c r="C175">
        <v>4004</v>
      </c>
      <c r="D175" t="s">
        <v>292</v>
      </c>
      <c r="E175" s="130">
        <v>45473</v>
      </c>
      <c r="F175" t="s">
        <v>287</v>
      </c>
      <c r="G175">
        <v>34.58</v>
      </c>
      <c r="H175">
        <v>9.5399999999999991</v>
      </c>
      <c r="I175">
        <v>1.79</v>
      </c>
      <c r="J175">
        <v>0.09</v>
      </c>
      <c r="K175">
        <v>0.16</v>
      </c>
      <c r="L175">
        <v>0</v>
      </c>
      <c r="M175">
        <v>0.18</v>
      </c>
      <c r="N175">
        <v>-0.01</v>
      </c>
      <c r="O175">
        <v>-0.23</v>
      </c>
      <c r="P175">
        <v>-0.12</v>
      </c>
      <c r="Q175">
        <v>0</v>
      </c>
      <c r="R175">
        <v>0</v>
      </c>
      <c r="S175">
        <v>0.48</v>
      </c>
      <c r="T175">
        <v>0.46</v>
      </c>
      <c r="U175">
        <v>0.23</v>
      </c>
      <c r="V175">
        <v>0</v>
      </c>
      <c r="W175">
        <v>0</v>
      </c>
      <c r="X175">
        <v>47.15</v>
      </c>
      <c r="Y175">
        <v>1344206.5689999999</v>
      </c>
      <c r="Z175" s="254">
        <f t="shared" si="2"/>
        <v>6</v>
      </c>
    </row>
    <row r="176" spans="2:26" hidden="1" x14ac:dyDescent="0.25">
      <c r="B176" t="s">
        <v>284</v>
      </c>
      <c r="C176">
        <v>4004</v>
      </c>
      <c r="D176" t="s">
        <v>292</v>
      </c>
      <c r="E176" s="130">
        <v>45473</v>
      </c>
      <c r="F176" t="s">
        <v>288</v>
      </c>
      <c r="G176">
        <v>50.28</v>
      </c>
      <c r="H176">
        <v>9.5399999999999991</v>
      </c>
      <c r="I176">
        <v>2.35</v>
      </c>
      <c r="J176">
        <v>0.11</v>
      </c>
      <c r="K176">
        <v>0.25</v>
      </c>
      <c r="L176">
        <v>0.98</v>
      </c>
      <c r="M176">
        <v>0.56000000000000005</v>
      </c>
      <c r="N176">
        <v>-0.02</v>
      </c>
      <c r="O176">
        <v>-0.43</v>
      </c>
      <c r="P176">
        <v>-0.12</v>
      </c>
      <c r="Q176">
        <v>-0.02</v>
      </c>
      <c r="R176">
        <v>0</v>
      </c>
      <c r="S176">
        <v>0.48</v>
      </c>
      <c r="T176">
        <v>0.46</v>
      </c>
      <c r="U176">
        <v>0.23</v>
      </c>
      <c r="V176">
        <v>0</v>
      </c>
      <c r="W176">
        <v>0</v>
      </c>
      <c r="X176">
        <v>64.66</v>
      </c>
      <c r="Y176">
        <v>1534530.952</v>
      </c>
      <c r="Z176" s="254">
        <f t="shared" si="2"/>
        <v>6</v>
      </c>
    </row>
    <row r="177" spans="2:26" hidden="1" x14ac:dyDescent="0.25">
      <c r="B177" t="s">
        <v>284</v>
      </c>
      <c r="C177">
        <v>4004</v>
      </c>
      <c r="D177" t="s">
        <v>292</v>
      </c>
      <c r="E177" s="130">
        <v>45504</v>
      </c>
      <c r="F177" t="s">
        <v>286</v>
      </c>
      <c r="G177">
        <v>37.96</v>
      </c>
      <c r="H177">
        <v>10.79</v>
      </c>
      <c r="I177">
        <v>0.81</v>
      </c>
      <c r="J177">
        <v>7.0000000000000007E-2</v>
      </c>
      <c r="K177">
        <v>0.21</v>
      </c>
      <c r="L177">
        <v>0.53</v>
      </c>
      <c r="M177">
        <v>0.32</v>
      </c>
      <c r="N177">
        <v>0.01</v>
      </c>
      <c r="O177">
        <v>-0.11</v>
      </c>
      <c r="P177">
        <v>-0.13</v>
      </c>
      <c r="Q177">
        <v>0</v>
      </c>
      <c r="R177">
        <v>0</v>
      </c>
      <c r="S177">
        <v>0.48</v>
      </c>
      <c r="T177">
        <v>0.46</v>
      </c>
      <c r="U177">
        <v>0.23</v>
      </c>
      <c r="V177">
        <v>0</v>
      </c>
      <c r="W177">
        <v>0</v>
      </c>
      <c r="X177">
        <v>51.64</v>
      </c>
      <c r="Y177">
        <v>2543685.0809999998</v>
      </c>
      <c r="Z177" s="254">
        <f t="shared" si="2"/>
        <v>7</v>
      </c>
    </row>
    <row r="178" spans="2:26" hidden="1" x14ac:dyDescent="0.25">
      <c r="B178" t="s">
        <v>284</v>
      </c>
      <c r="C178">
        <v>4004</v>
      </c>
      <c r="D178" t="s">
        <v>292</v>
      </c>
      <c r="E178" s="130">
        <v>45504</v>
      </c>
      <c r="F178" t="s">
        <v>287</v>
      </c>
      <c r="G178">
        <v>28.46</v>
      </c>
      <c r="H178">
        <v>10.79</v>
      </c>
      <c r="I178">
        <v>0.68</v>
      </c>
      <c r="J178">
        <v>0.06</v>
      </c>
      <c r="K178">
        <v>0.14000000000000001</v>
      </c>
      <c r="L178">
        <v>0</v>
      </c>
      <c r="M178">
        <v>0.01</v>
      </c>
      <c r="N178">
        <v>0.01</v>
      </c>
      <c r="O178">
        <v>-0.14000000000000001</v>
      </c>
      <c r="P178">
        <v>-0.13</v>
      </c>
      <c r="Q178">
        <v>0</v>
      </c>
      <c r="R178">
        <v>0</v>
      </c>
      <c r="S178">
        <v>0.48</v>
      </c>
      <c r="T178">
        <v>0.46</v>
      </c>
      <c r="U178">
        <v>0.23</v>
      </c>
      <c r="V178">
        <v>0</v>
      </c>
      <c r="W178">
        <v>0</v>
      </c>
      <c r="X178">
        <v>41.05</v>
      </c>
      <c r="Y178">
        <v>1212227.7860000001</v>
      </c>
      <c r="Z178" s="254">
        <f t="shared" si="2"/>
        <v>7</v>
      </c>
    </row>
    <row r="179" spans="2:26" hidden="1" x14ac:dyDescent="0.25">
      <c r="B179" t="s">
        <v>284</v>
      </c>
      <c r="C179">
        <v>4004</v>
      </c>
      <c r="D179" t="s">
        <v>292</v>
      </c>
      <c r="E179" s="130">
        <v>45504</v>
      </c>
      <c r="F179" t="s">
        <v>288</v>
      </c>
      <c r="G179">
        <v>48.54</v>
      </c>
      <c r="H179">
        <v>10.79</v>
      </c>
      <c r="I179">
        <v>0.97</v>
      </c>
      <c r="J179">
        <v>0.09</v>
      </c>
      <c r="K179">
        <v>0.3</v>
      </c>
      <c r="L179">
        <v>1.1299999999999999</v>
      </c>
      <c r="M179">
        <v>0.66</v>
      </c>
      <c r="N179">
        <v>0.01</v>
      </c>
      <c r="O179">
        <v>-0.08</v>
      </c>
      <c r="P179">
        <v>-0.13</v>
      </c>
      <c r="Q179">
        <v>0</v>
      </c>
      <c r="R179">
        <v>0</v>
      </c>
      <c r="S179">
        <v>0.48</v>
      </c>
      <c r="T179">
        <v>0.46</v>
      </c>
      <c r="U179">
        <v>0.23</v>
      </c>
      <c r="V179">
        <v>0</v>
      </c>
      <c r="W179">
        <v>0</v>
      </c>
      <c r="X179">
        <v>63.43</v>
      </c>
      <c r="Y179">
        <v>1331457.2949999999</v>
      </c>
      <c r="Z179" s="254">
        <f t="shared" si="2"/>
        <v>7</v>
      </c>
    </row>
    <row r="180" spans="2:26" hidden="1" x14ac:dyDescent="0.25">
      <c r="B180" t="s">
        <v>284</v>
      </c>
      <c r="C180">
        <v>4004</v>
      </c>
      <c r="D180" t="s">
        <v>292</v>
      </c>
      <c r="E180" s="130">
        <v>45535</v>
      </c>
      <c r="F180" t="s">
        <v>286</v>
      </c>
      <c r="G180">
        <v>31.52</v>
      </c>
      <c r="H180">
        <v>13.4</v>
      </c>
      <c r="I180">
        <v>0.54</v>
      </c>
      <c r="J180">
        <v>0.06</v>
      </c>
      <c r="K180">
        <v>0.09</v>
      </c>
      <c r="L180">
        <v>0.65</v>
      </c>
      <c r="M180">
        <v>0.02</v>
      </c>
      <c r="N180">
        <v>0</v>
      </c>
      <c r="O180">
        <v>-0.1</v>
      </c>
      <c r="P180">
        <v>-0.19</v>
      </c>
      <c r="Q180">
        <v>0</v>
      </c>
      <c r="R180">
        <v>0</v>
      </c>
      <c r="S180">
        <v>0.48</v>
      </c>
      <c r="T180">
        <v>0.47</v>
      </c>
      <c r="U180">
        <v>0.23</v>
      </c>
      <c r="V180">
        <v>0</v>
      </c>
      <c r="W180">
        <v>0</v>
      </c>
      <c r="X180">
        <v>47.16</v>
      </c>
      <c r="Y180">
        <v>2008952.2779999999</v>
      </c>
      <c r="Z180" s="254">
        <f t="shared" si="2"/>
        <v>8</v>
      </c>
    </row>
    <row r="181" spans="2:26" hidden="1" x14ac:dyDescent="0.25">
      <c r="B181" t="s">
        <v>284</v>
      </c>
      <c r="C181">
        <v>4004</v>
      </c>
      <c r="D181" t="s">
        <v>292</v>
      </c>
      <c r="E181" s="130">
        <v>45535</v>
      </c>
      <c r="F181" t="s">
        <v>287</v>
      </c>
      <c r="G181">
        <v>28.99</v>
      </c>
      <c r="H181">
        <v>13.4</v>
      </c>
      <c r="I181">
        <v>0.56000000000000005</v>
      </c>
      <c r="J181">
        <v>0.06</v>
      </c>
      <c r="K181">
        <v>7.0000000000000007E-2</v>
      </c>
      <c r="L181">
        <v>0</v>
      </c>
      <c r="M181">
        <v>0.02</v>
      </c>
      <c r="N181">
        <v>0</v>
      </c>
      <c r="O181">
        <v>-0.12</v>
      </c>
      <c r="P181">
        <v>-0.19</v>
      </c>
      <c r="Q181">
        <v>0</v>
      </c>
      <c r="R181">
        <v>0</v>
      </c>
      <c r="S181">
        <v>0.48</v>
      </c>
      <c r="T181">
        <v>0.47</v>
      </c>
      <c r="U181">
        <v>0.23</v>
      </c>
      <c r="V181">
        <v>0</v>
      </c>
      <c r="W181">
        <v>0</v>
      </c>
      <c r="X181">
        <v>43.98</v>
      </c>
      <c r="Y181">
        <v>1027552.579</v>
      </c>
      <c r="Z181" s="254">
        <f t="shared" si="2"/>
        <v>8</v>
      </c>
    </row>
    <row r="182" spans="2:26" hidden="1" x14ac:dyDescent="0.25">
      <c r="B182" t="s">
        <v>284</v>
      </c>
      <c r="C182">
        <v>4004</v>
      </c>
      <c r="D182" t="s">
        <v>292</v>
      </c>
      <c r="E182" s="130">
        <v>45535</v>
      </c>
      <c r="F182" t="s">
        <v>288</v>
      </c>
      <c r="G182">
        <v>34.67</v>
      </c>
      <c r="H182">
        <v>13.4</v>
      </c>
      <c r="I182">
        <v>0.52</v>
      </c>
      <c r="J182">
        <v>0.06</v>
      </c>
      <c r="K182">
        <v>0.11</v>
      </c>
      <c r="L182">
        <v>1.46</v>
      </c>
      <c r="M182">
        <v>0.03</v>
      </c>
      <c r="N182">
        <v>-0.01</v>
      </c>
      <c r="O182">
        <v>-0.09</v>
      </c>
      <c r="P182">
        <v>-0.19</v>
      </c>
      <c r="Q182">
        <v>0</v>
      </c>
      <c r="R182">
        <v>0</v>
      </c>
      <c r="S182">
        <v>0.48</v>
      </c>
      <c r="T182">
        <v>0.47</v>
      </c>
      <c r="U182">
        <v>0.23</v>
      </c>
      <c r="V182">
        <v>0</v>
      </c>
      <c r="W182">
        <v>0</v>
      </c>
      <c r="X182">
        <v>51.14</v>
      </c>
      <c r="Y182">
        <v>981399.69900000002</v>
      </c>
      <c r="Z182" s="254">
        <f t="shared" si="2"/>
        <v>8</v>
      </c>
    </row>
    <row r="183" spans="2:26" hidden="1" x14ac:dyDescent="0.25">
      <c r="B183" t="s">
        <v>284</v>
      </c>
      <c r="C183">
        <v>4004</v>
      </c>
      <c r="D183" t="s">
        <v>292</v>
      </c>
      <c r="E183" s="130">
        <v>45565</v>
      </c>
      <c r="F183" t="s">
        <v>286</v>
      </c>
      <c r="G183">
        <v>34</v>
      </c>
      <c r="H183">
        <v>13.75</v>
      </c>
      <c r="I183">
        <v>0.64</v>
      </c>
      <c r="J183">
        <v>0.09</v>
      </c>
      <c r="K183">
        <v>0.16</v>
      </c>
      <c r="L183">
        <v>0.48</v>
      </c>
      <c r="M183">
        <v>0.02</v>
      </c>
      <c r="N183">
        <v>0</v>
      </c>
      <c r="O183">
        <v>-0.15</v>
      </c>
      <c r="P183">
        <v>-0.21</v>
      </c>
      <c r="Q183">
        <v>0</v>
      </c>
      <c r="R183">
        <v>0</v>
      </c>
      <c r="S183">
        <v>0.48</v>
      </c>
      <c r="T183">
        <v>0.46</v>
      </c>
      <c r="U183">
        <v>0.23</v>
      </c>
      <c r="V183">
        <v>0</v>
      </c>
      <c r="W183">
        <v>0</v>
      </c>
      <c r="X183">
        <v>49.96</v>
      </c>
      <c r="Y183">
        <v>1922114.524</v>
      </c>
      <c r="Z183" s="254">
        <f t="shared" si="2"/>
        <v>9</v>
      </c>
    </row>
    <row r="184" spans="2:26" hidden="1" x14ac:dyDescent="0.25">
      <c r="B184" t="s">
        <v>284</v>
      </c>
      <c r="C184">
        <v>4004</v>
      </c>
      <c r="D184" t="s">
        <v>292</v>
      </c>
      <c r="E184" s="130">
        <v>45565</v>
      </c>
      <c r="F184" t="s">
        <v>287</v>
      </c>
      <c r="G184">
        <v>29.7</v>
      </c>
      <c r="H184">
        <v>13.75</v>
      </c>
      <c r="I184">
        <v>0.56000000000000005</v>
      </c>
      <c r="J184">
        <v>0.09</v>
      </c>
      <c r="K184">
        <v>0.16</v>
      </c>
      <c r="L184">
        <v>0</v>
      </c>
      <c r="M184">
        <v>0.02</v>
      </c>
      <c r="N184">
        <v>0</v>
      </c>
      <c r="O184">
        <v>-0.12</v>
      </c>
      <c r="P184">
        <v>-0.21</v>
      </c>
      <c r="Q184">
        <v>0</v>
      </c>
      <c r="R184">
        <v>0</v>
      </c>
      <c r="S184">
        <v>0.48</v>
      </c>
      <c r="T184">
        <v>0.46</v>
      </c>
      <c r="U184">
        <v>0.23</v>
      </c>
      <c r="V184">
        <v>0</v>
      </c>
      <c r="W184">
        <v>0</v>
      </c>
      <c r="X184">
        <v>45.12</v>
      </c>
      <c r="Y184">
        <v>874406.56299999997</v>
      </c>
      <c r="Z184" s="254">
        <f t="shared" si="2"/>
        <v>9</v>
      </c>
    </row>
    <row r="185" spans="2:26" hidden="1" x14ac:dyDescent="0.25">
      <c r="B185" t="s">
        <v>284</v>
      </c>
      <c r="C185">
        <v>4004</v>
      </c>
      <c r="D185" t="s">
        <v>292</v>
      </c>
      <c r="E185" s="130">
        <v>45565</v>
      </c>
      <c r="F185" t="s">
        <v>288</v>
      </c>
      <c r="G185">
        <v>38.39</v>
      </c>
      <c r="H185">
        <v>13.75</v>
      </c>
      <c r="I185">
        <v>0.71</v>
      </c>
      <c r="J185">
        <v>0.1</v>
      </c>
      <c r="K185">
        <v>0.16</v>
      </c>
      <c r="L185">
        <v>0.97</v>
      </c>
      <c r="M185">
        <v>0.03</v>
      </c>
      <c r="N185">
        <v>0</v>
      </c>
      <c r="O185">
        <v>-0.18</v>
      </c>
      <c r="P185">
        <v>-0.21</v>
      </c>
      <c r="Q185">
        <v>0</v>
      </c>
      <c r="R185">
        <v>0</v>
      </c>
      <c r="S185">
        <v>0.48</v>
      </c>
      <c r="T185">
        <v>0.46</v>
      </c>
      <c r="U185">
        <v>0.23</v>
      </c>
      <c r="V185">
        <v>0</v>
      </c>
      <c r="W185">
        <v>0</v>
      </c>
      <c r="X185">
        <v>54.89</v>
      </c>
      <c r="Y185">
        <v>1047707.961</v>
      </c>
      <c r="Z185" s="254">
        <f t="shared" si="2"/>
        <v>9</v>
      </c>
    </row>
    <row r="186" spans="2:26" hidden="1" x14ac:dyDescent="0.25">
      <c r="B186" t="s">
        <v>284</v>
      </c>
      <c r="C186">
        <v>4004</v>
      </c>
      <c r="D186" t="s">
        <v>292</v>
      </c>
      <c r="E186" s="130">
        <v>45596</v>
      </c>
      <c r="F186" t="s">
        <v>286</v>
      </c>
      <c r="G186">
        <v>38.32</v>
      </c>
      <c r="H186">
        <v>13.25</v>
      </c>
      <c r="I186">
        <v>0.49</v>
      </c>
      <c r="J186">
        <v>0.11</v>
      </c>
      <c r="K186">
        <v>0.23</v>
      </c>
      <c r="L186">
        <v>0.48</v>
      </c>
      <c r="M186">
        <v>0.02</v>
      </c>
      <c r="N186">
        <v>0</v>
      </c>
      <c r="O186">
        <v>-0.3</v>
      </c>
      <c r="P186">
        <v>-0.26</v>
      </c>
      <c r="Q186">
        <v>0</v>
      </c>
      <c r="R186">
        <v>0</v>
      </c>
      <c r="S186">
        <v>0.48</v>
      </c>
      <c r="T186">
        <v>0.47</v>
      </c>
      <c r="U186">
        <v>0.23</v>
      </c>
      <c r="V186">
        <v>0</v>
      </c>
      <c r="W186">
        <v>0</v>
      </c>
      <c r="X186">
        <v>53.51</v>
      </c>
      <c r="Y186">
        <v>1988180.6089999999</v>
      </c>
      <c r="Z186" s="254">
        <f t="shared" si="2"/>
        <v>10</v>
      </c>
    </row>
    <row r="187" spans="2:26" hidden="1" x14ac:dyDescent="0.25">
      <c r="B187" t="s">
        <v>284</v>
      </c>
      <c r="C187">
        <v>4004</v>
      </c>
      <c r="D187" t="s">
        <v>292</v>
      </c>
      <c r="E187" s="130">
        <v>45596</v>
      </c>
      <c r="F187" t="s">
        <v>287</v>
      </c>
      <c r="G187">
        <v>34.61</v>
      </c>
      <c r="H187">
        <v>13.25</v>
      </c>
      <c r="I187">
        <v>0.42</v>
      </c>
      <c r="J187">
        <v>0.08</v>
      </c>
      <c r="K187">
        <v>0.17</v>
      </c>
      <c r="L187">
        <v>0</v>
      </c>
      <c r="M187">
        <v>0.01</v>
      </c>
      <c r="N187">
        <v>0.01</v>
      </c>
      <c r="O187">
        <v>-0.28999999999999998</v>
      </c>
      <c r="P187">
        <v>-0.26</v>
      </c>
      <c r="Q187">
        <v>0</v>
      </c>
      <c r="R187">
        <v>0</v>
      </c>
      <c r="S187">
        <v>0.48</v>
      </c>
      <c r="T187">
        <v>0.47</v>
      </c>
      <c r="U187">
        <v>0.23</v>
      </c>
      <c r="V187">
        <v>0</v>
      </c>
      <c r="W187">
        <v>0</v>
      </c>
      <c r="X187">
        <v>49.18</v>
      </c>
      <c r="Y187">
        <v>1024692.588</v>
      </c>
      <c r="Z187" s="254">
        <f t="shared" si="2"/>
        <v>10</v>
      </c>
    </row>
    <row r="188" spans="2:26" hidden="1" x14ac:dyDescent="0.25">
      <c r="B188" t="s">
        <v>284</v>
      </c>
      <c r="C188">
        <v>4004</v>
      </c>
      <c r="D188" t="s">
        <v>292</v>
      </c>
      <c r="E188" s="130">
        <v>45596</v>
      </c>
      <c r="F188" t="s">
        <v>288</v>
      </c>
      <c r="G188">
        <v>42.98</v>
      </c>
      <c r="H188">
        <v>13.25</v>
      </c>
      <c r="I188">
        <v>0.57999999999999996</v>
      </c>
      <c r="J188">
        <v>0.14000000000000001</v>
      </c>
      <c r="K188">
        <v>0.3</v>
      </c>
      <c r="L188">
        <v>1.0900000000000001</v>
      </c>
      <c r="M188">
        <v>0.02</v>
      </c>
      <c r="N188">
        <v>0</v>
      </c>
      <c r="O188">
        <v>-0.33</v>
      </c>
      <c r="P188">
        <v>-0.26</v>
      </c>
      <c r="Q188">
        <v>0</v>
      </c>
      <c r="R188">
        <v>0</v>
      </c>
      <c r="S188">
        <v>0.48</v>
      </c>
      <c r="T188">
        <v>0.47</v>
      </c>
      <c r="U188">
        <v>0.23</v>
      </c>
      <c r="V188">
        <v>0</v>
      </c>
      <c r="W188">
        <v>0</v>
      </c>
      <c r="X188">
        <v>58.94</v>
      </c>
      <c r="Y188">
        <v>963488.02099999995</v>
      </c>
      <c r="Z188" s="254">
        <f t="shared" si="2"/>
        <v>10</v>
      </c>
    </row>
    <row r="189" spans="2:26" hidden="1" x14ac:dyDescent="0.25">
      <c r="B189" t="s">
        <v>284</v>
      </c>
      <c r="C189">
        <v>4004</v>
      </c>
      <c r="D189" t="s">
        <v>292</v>
      </c>
      <c r="E189" s="130">
        <v>45626</v>
      </c>
      <c r="F189" t="s">
        <v>286</v>
      </c>
      <c r="G189">
        <v>81.13</v>
      </c>
      <c r="H189">
        <v>11.14</v>
      </c>
      <c r="I189">
        <v>0.6</v>
      </c>
      <c r="J189">
        <v>0.11</v>
      </c>
      <c r="K189">
        <v>0.17</v>
      </c>
      <c r="L189">
        <v>0.39</v>
      </c>
      <c r="M189">
        <v>0.04</v>
      </c>
      <c r="N189">
        <v>0.01</v>
      </c>
      <c r="O189">
        <v>-0.59</v>
      </c>
      <c r="P189">
        <v>-0.48</v>
      </c>
      <c r="Q189">
        <v>0</v>
      </c>
      <c r="R189">
        <v>0</v>
      </c>
      <c r="S189">
        <v>0.48</v>
      </c>
      <c r="T189">
        <v>0.46</v>
      </c>
      <c r="U189">
        <v>0.23</v>
      </c>
      <c r="V189">
        <v>2.58</v>
      </c>
      <c r="W189">
        <v>0</v>
      </c>
      <c r="X189">
        <v>96.27</v>
      </c>
      <c r="Y189">
        <v>2448520.0690000001</v>
      </c>
      <c r="Z189" s="254">
        <f t="shared" si="2"/>
        <v>11</v>
      </c>
    </row>
    <row r="190" spans="2:26" hidden="1" x14ac:dyDescent="0.25">
      <c r="B190" t="s">
        <v>284</v>
      </c>
      <c r="C190">
        <v>4004</v>
      </c>
      <c r="D190" t="s">
        <v>292</v>
      </c>
      <c r="E190" s="130">
        <v>45626</v>
      </c>
      <c r="F190" t="s">
        <v>287</v>
      </c>
      <c r="G190">
        <v>76.62</v>
      </c>
      <c r="H190">
        <v>11.14</v>
      </c>
      <c r="I190">
        <v>0.59</v>
      </c>
      <c r="J190">
        <v>0.09</v>
      </c>
      <c r="K190">
        <v>0.18</v>
      </c>
      <c r="L190">
        <v>0</v>
      </c>
      <c r="M190">
        <v>0.03</v>
      </c>
      <c r="N190">
        <v>0.01</v>
      </c>
      <c r="O190">
        <v>-0.57999999999999996</v>
      </c>
      <c r="P190">
        <v>-0.48</v>
      </c>
      <c r="Q190">
        <v>0</v>
      </c>
      <c r="R190">
        <v>0</v>
      </c>
      <c r="S190">
        <v>0.48</v>
      </c>
      <c r="T190">
        <v>0.46</v>
      </c>
      <c r="U190">
        <v>0.23</v>
      </c>
      <c r="V190">
        <v>2.61</v>
      </c>
      <c r="W190">
        <v>0</v>
      </c>
      <c r="X190">
        <v>91.39</v>
      </c>
      <c r="Y190">
        <v>1264006.3489999999</v>
      </c>
      <c r="Z190" s="254">
        <f t="shared" si="2"/>
        <v>11</v>
      </c>
    </row>
    <row r="191" spans="2:26" hidden="1" x14ac:dyDescent="0.25">
      <c r="B191" t="s">
        <v>284</v>
      </c>
      <c r="C191">
        <v>4004</v>
      </c>
      <c r="D191" t="s">
        <v>292</v>
      </c>
      <c r="E191" s="130">
        <v>45626</v>
      </c>
      <c r="F191" t="s">
        <v>288</v>
      </c>
      <c r="G191">
        <v>86.61</v>
      </c>
      <c r="H191">
        <v>11.14</v>
      </c>
      <c r="I191">
        <v>0.61</v>
      </c>
      <c r="J191">
        <v>0.13</v>
      </c>
      <c r="K191">
        <v>0.15</v>
      </c>
      <c r="L191">
        <v>0.86</v>
      </c>
      <c r="M191">
        <v>0.05</v>
      </c>
      <c r="N191">
        <v>0</v>
      </c>
      <c r="O191">
        <v>-0.59</v>
      </c>
      <c r="P191">
        <v>-0.48</v>
      </c>
      <c r="Q191">
        <v>-0.01</v>
      </c>
      <c r="R191">
        <v>0</v>
      </c>
      <c r="S191">
        <v>0.48</v>
      </c>
      <c r="T191">
        <v>0.46</v>
      </c>
      <c r="U191">
        <v>0.23</v>
      </c>
      <c r="V191">
        <v>2.5499999999999998</v>
      </c>
      <c r="W191">
        <v>0</v>
      </c>
      <c r="X191">
        <v>102.2</v>
      </c>
      <c r="Y191">
        <v>1184513.72</v>
      </c>
      <c r="Z191" s="254">
        <f t="shared" si="2"/>
        <v>11</v>
      </c>
    </row>
    <row r="192" spans="2:26" hidden="1" x14ac:dyDescent="0.25">
      <c r="B192" t="s">
        <v>284</v>
      </c>
      <c r="C192">
        <v>4005</v>
      </c>
      <c r="D192" t="s">
        <v>293</v>
      </c>
      <c r="E192" s="130">
        <v>45291</v>
      </c>
      <c r="F192" t="s">
        <v>286</v>
      </c>
      <c r="G192">
        <v>63.87</v>
      </c>
      <c r="H192">
        <v>8.9</v>
      </c>
      <c r="I192">
        <v>0.67</v>
      </c>
      <c r="J192">
        <v>0.08</v>
      </c>
      <c r="K192">
        <v>0.21</v>
      </c>
      <c r="L192">
        <v>0.46</v>
      </c>
      <c r="M192">
        <v>0.04</v>
      </c>
      <c r="N192">
        <v>0.01</v>
      </c>
      <c r="O192">
        <v>-0.26</v>
      </c>
      <c r="P192">
        <v>-0.45</v>
      </c>
      <c r="Q192">
        <v>0</v>
      </c>
      <c r="R192">
        <v>0</v>
      </c>
      <c r="S192">
        <v>0.48</v>
      </c>
      <c r="T192">
        <v>0.46</v>
      </c>
      <c r="U192">
        <v>0.23</v>
      </c>
      <c r="V192">
        <v>2.52</v>
      </c>
      <c r="W192">
        <v>0</v>
      </c>
      <c r="X192">
        <v>77.23</v>
      </c>
      <c r="Y192">
        <v>679996.94299999997</v>
      </c>
      <c r="Z192" s="254">
        <f t="shared" si="2"/>
        <v>12</v>
      </c>
    </row>
    <row r="193" spans="2:26" hidden="1" x14ac:dyDescent="0.25">
      <c r="B193" t="s">
        <v>284</v>
      </c>
      <c r="C193">
        <v>4005</v>
      </c>
      <c r="D193" t="s">
        <v>293</v>
      </c>
      <c r="E193" s="130">
        <v>45291</v>
      </c>
      <c r="F193" t="s">
        <v>287</v>
      </c>
      <c r="G193">
        <v>57.33</v>
      </c>
      <c r="H193">
        <v>8.9</v>
      </c>
      <c r="I193">
        <v>0.56999999999999995</v>
      </c>
      <c r="J193">
        <v>7.0000000000000007E-2</v>
      </c>
      <c r="K193">
        <v>0.2</v>
      </c>
      <c r="L193">
        <v>0</v>
      </c>
      <c r="M193">
        <v>0.03</v>
      </c>
      <c r="N193">
        <v>0.02</v>
      </c>
      <c r="O193">
        <v>-0.24</v>
      </c>
      <c r="P193">
        <v>-0.45</v>
      </c>
      <c r="Q193">
        <v>0</v>
      </c>
      <c r="R193">
        <v>0</v>
      </c>
      <c r="S193">
        <v>0.48</v>
      </c>
      <c r="T193">
        <v>0.46</v>
      </c>
      <c r="U193">
        <v>0.23</v>
      </c>
      <c r="V193">
        <v>2.61</v>
      </c>
      <c r="W193">
        <v>0</v>
      </c>
      <c r="X193">
        <v>70.19</v>
      </c>
      <c r="Y193">
        <v>331616.66800000001</v>
      </c>
      <c r="Z193" s="254">
        <f t="shared" si="2"/>
        <v>12</v>
      </c>
    </row>
    <row r="194" spans="2:26" hidden="1" x14ac:dyDescent="0.25">
      <c r="B194" t="s">
        <v>284</v>
      </c>
      <c r="C194">
        <v>4005</v>
      </c>
      <c r="D194" t="s">
        <v>293</v>
      </c>
      <c r="E194" s="130">
        <v>45291</v>
      </c>
      <c r="F194" t="s">
        <v>288</v>
      </c>
      <c r="G194">
        <v>71.17</v>
      </c>
      <c r="H194">
        <v>8.9</v>
      </c>
      <c r="I194">
        <v>0.79</v>
      </c>
      <c r="J194">
        <v>0.1</v>
      </c>
      <c r="K194">
        <v>0.22</v>
      </c>
      <c r="L194">
        <v>0.98</v>
      </c>
      <c r="M194">
        <v>0.06</v>
      </c>
      <c r="N194">
        <v>0</v>
      </c>
      <c r="O194">
        <v>-0.28999999999999998</v>
      </c>
      <c r="P194">
        <v>-0.45</v>
      </c>
      <c r="Q194">
        <v>0</v>
      </c>
      <c r="R194">
        <v>0</v>
      </c>
      <c r="S194">
        <v>0.48</v>
      </c>
      <c r="T194">
        <v>0.46</v>
      </c>
      <c r="U194">
        <v>0.23</v>
      </c>
      <c r="V194">
        <v>2.42</v>
      </c>
      <c r="W194">
        <v>0</v>
      </c>
      <c r="X194">
        <v>85.06</v>
      </c>
      <c r="Y194">
        <v>348380.27500000002</v>
      </c>
      <c r="Z194" s="254">
        <f t="shared" si="2"/>
        <v>12</v>
      </c>
    </row>
    <row r="195" spans="2:26" hidden="1" x14ac:dyDescent="0.25">
      <c r="B195" t="s">
        <v>284</v>
      </c>
      <c r="C195">
        <v>4005</v>
      </c>
      <c r="D195" t="s">
        <v>293</v>
      </c>
      <c r="E195" s="130">
        <v>45322</v>
      </c>
      <c r="F195" t="s">
        <v>286</v>
      </c>
      <c r="G195">
        <v>31.54</v>
      </c>
      <c r="H195">
        <v>10.1</v>
      </c>
      <c r="I195">
        <v>0.5</v>
      </c>
      <c r="J195">
        <v>0.05</v>
      </c>
      <c r="K195">
        <v>0.13</v>
      </c>
      <c r="L195">
        <v>0.54</v>
      </c>
      <c r="M195">
        <v>0.03</v>
      </c>
      <c r="N195">
        <v>0</v>
      </c>
      <c r="O195">
        <v>-0.16</v>
      </c>
      <c r="P195">
        <v>-0.48</v>
      </c>
      <c r="Q195">
        <v>0</v>
      </c>
      <c r="R195">
        <v>0</v>
      </c>
      <c r="S195">
        <v>0.48</v>
      </c>
      <c r="T195">
        <v>0.49</v>
      </c>
      <c r="U195">
        <v>0.23</v>
      </c>
      <c r="V195">
        <v>2.64</v>
      </c>
      <c r="W195">
        <v>0</v>
      </c>
      <c r="X195">
        <v>46.08</v>
      </c>
      <c r="Y195">
        <v>599644.33799999999</v>
      </c>
      <c r="Z195" s="254">
        <f t="shared" si="2"/>
        <v>1</v>
      </c>
    </row>
    <row r="196" spans="2:26" hidden="1" x14ac:dyDescent="0.25">
      <c r="B196" t="s">
        <v>284</v>
      </c>
      <c r="C196">
        <v>4005</v>
      </c>
      <c r="D196" t="s">
        <v>293</v>
      </c>
      <c r="E196" s="130">
        <v>45322</v>
      </c>
      <c r="F196" t="s">
        <v>287</v>
      </c>
      <c r="G196">
        <v>30.03</v>
      </c>
      <c r="H196">
        <v>10.1</v>
      </c>
      <c r="I196">
        <v>0.55000000000000004</v>
      </c>
      <c r="J196">
        <v>0.05</v>
      </c>
      <c r="K196">
        <v>0.12</v>
      </c>
      <c r="L196">
        <v>0</v>
      </c>
      <c r="M196">
        <v>0.02</v>
      </c>
      <c r="N196">
        <v>0</v>
      </c>
      <c r="O196">
        <v>-0.14000000000000001</v>
      </c>
      <c r="P196">
        <v>-0.48</v>
      </c>
      <c r="Q196">
        <v>0</v>
      </c>
      <c r="R196">
        <v>0</v>
      </c>
      <c r="S196">
        <v>0.48</v>
      </c>
      <c r="T196">
        <v>0.49</v>
      </c>
      <c r="U196">
        <v>0.23</v>
      </c>
      <c r="V196">
        <v>2.68</v>
      </c>
      <c r="W196">
        <v>0</v>
      </c>
      <c r="X196">
        <v>44.12</v>
      </c>
      <c r="Y196">
        <v>287630.25300000003</v>
      </c>
      <c r="Z196" s="254">
        <f t="shared" si="2"/>
        <v>1</v>
      </c>
    </row>
    <row r="197" spans="2:26" hidden="1" x14ac:dyDescent="0.25">
      <c r="B197" t="s">
        <v>284</v>
      </c>
      <c r="C197">
        <v>4005</v>
      </c>
      <c r="D197" t="s">
        <v>293</v>
      </c>
      <c r="E197" s="130">
        <v>45322</v>
      </c>
      <c r="F197" t="s">
        <v>288</v>
      </c>
      <c r="G197">
        <v>33.159999999999997</v>
      </c>
      <c r="H197">
        <v>10.1</v>
      </c>
      <c r="I197">
        <v>0.45</v>
      </c>
      <c r="J197">
        <v>0.04</v>
      </c>
      <c r="K197">
        <v>0.14000000000000001</v>
      </c>
      <c r="L197">
        <v>1.1100000000000001</v>
      </c>
      <c r="M197">
        <v>0.03</v>
      </c>
      <c r="N197">
        <v>0</v>
      </c>
      <c r="O197">
        <v>-0.19</v>
      </c>
      <c r="P197">
        <v>-0.48</v>
      </c>
      <c r="Q197">
        <v>0</v>
      </c>
      <c r="R197">
        <v>0</v>
      </c>
      <c r="S197">
        <v>0.48</v>
      </c>
      <c r="T197">
        <v>0.49</v>
      </c>
      <c r="U197">
        <v>0.23</v>
      </c>
      <c r="V197">
        <v>2.59</v>
      </c>
      <c r="W197">
        <v>0</v>
      </c>
      <c r="X197">
        <v>48.18</v>
      </c>
      <c r="Y197">
        <v>312014.08500000002</v>
      </c>
      <c r="Z197" s="254">
        <f t="shared" si="2"/>
        <v>1</v>
      </c>
    </row>
    <row r="198" spans="2:26" hidden="1" x14ac:dyDescent="0.25">
      <c r="B198" t="s">
        <v>284</v>
      </c>
      <c r="C198">
        <v>4005</v>
      </c>
      <c r="D198" t="s">
        <v>293</v>
      </c>
      <c r="E198" s="130">
        <v>45351</v>
      </c>
      <c r="F198" t="s">
        <v>286</v>
      </c>
      <c r="G198">
        <v>23.02</v>
      </c>
      <c r="H198">
        <v>10.26</v>
      </c>
      <c r="I198">
        <v>0.41</v>
      </c>
      <c r="J198">
        <v>0.05</v>
      </c>
      <c r="K198">
        <v>0.1</v>
      </c>
      <c r="L198">
        <v>0.55000000000000004</v>
      </c>
      <c r="M198">
        <v>0.02</v>
      </c>
      <c r="N198">
        <v>-0.01</v>
      </c>
      <c r="O198">
        <v>-0.06</v>
      </c>
      <c r="P198">
        <v>-0.17</v>
      </c>
      <c r="Q198">
        <v>0</v>
      </c>
      <c r="R198">
        <v>0</v>
      </c>
      <c r="S198">
        <v>0.48</v>
      </c>
      <c r="T198">
        <v>0.46</v>
      </c>
      <c r="U198">
        <v>0.23</v>
      </c>
      <c r="V198">
        <v>0</v>
      </c>
      <c r="W198">
        <v>0</v>
      </c>
      <c r="X198">
        <v>35.340000000000003</v>
      </c>
      <c r="Y198">
        <v>585739.54299999995</v>
      </c>
      <c r="Z198" s="254">
        <f t="shared" si="2"/>
        <v>2</v>
      </c>
    </row>
    <row r="199" spans="2:26" hidden="1" x14ac:dyDescent="0.25">
      <c r="B199" t="s">
        <v>284</v>
      </c>
      <c r="C199">
        <v>4005</v>
      </c>
      <c r="D199" t="s">
        <v>293</v>
      </c>
      <c r="E199" s="130">
        <v>45351</v>
      </c>
      <c r="F199" t="s">
        <v>287</v>
      </c>
      <c r="G199">
        <v>22.13</v>
      </c>
      <c r="H199">
        <v>10.26</v>
      </c>
      <c r="I199">
        <v>0.34</v>
      </c>
      <c r="J199">
        <v>0.04</v>
      </c>
      <c r="K199">
        <v>0.1</v>
      </c>
      <c r="L199">
        <v>0</v>
      </c>
      <c r="M199">
        <v>0.02</v>
      </c>
      <c r="N199">
        <v>0</v>
      </c>
      <c r="O199">
        <v>-0.04</v>
      </c>
      <c r="P199">
        <v>-0.17</v>
      </c>
      <c r="Q199">
        <v>0</v>
      </c>
      <c r="R199">
        <v>0</v>
      </c>
      <c r="S199">
        <v>0.48</v>
      </c>
      <c r="T199">
        <v>0.46</v>
      </c>
      <c r="U199">
        <v>0.23</v>
      </c>
      <c r="V199">
        <v>0</v>
      </c>
      <c r="W199">
        <v>0</v>
      </c>
      <c r="X199">
        <v>33.85</v>
      </c>
      <c r="Y199">
        <v>299157.72399999999</v>
      </c>
      <c r="Z199" s="254">
        <f t="shared" si="2"/>
        <v>2</v>
      </c>
    </row>
    <row r="200" spans="2:26" hidden="1" x14ac:dyDescent="0.25">
      <c r="B200" t="s">
        <v>284</v>
      </c>
      <c r="C200">
        <v>4005</v>
      </c>
      <c r="D200" t="s">
        <v>293</v>
      </c>
      <c r="E200" s="130">
        <v>45351</v>
      </c>
      <c r="F200" t="s">
        <v>288</v>
      </c>
      <c r="G200">
        <v>24.09</v>
      </c>
      <c r="H200">
        <v>10.26</v>
      </c>
      <c r="I200">
        <v>0.5</v>
      </c>
      <c r="J200">
        <v>0.05</v>
      </c>
      <c r="K200">
        <v>0.1</v>
      </c>
      <c r="L200">
        <v>1.21</v>
      </c>
      <c r="M200">
        <v>0.02</v>
      </c>
      <c r="N200">
        <v>-0.01</v>
      </c>
      <c r="O200">
        <v>-7.0000000000000007E-2</v>
      </c>
      <c r="P200">
        <v>-0.17</v>
      </c>
      <c r="Q200">
        <v>0</v>
      </c>
      <c r="R200">
        <v>0</v>
      </c>
      <c r="S200">
        <v>0.48</v>
      </c>
      <c r="T200">
        <v>0.46</v>
      </c>
      <c r="U200">
        <v>0.23</v>
      </c>
      <c r="V200">
        <v>0</v>
      </c>
      <c r="W200">
        <v>0</v>
      </c>
      <c r="X200">
        <v>37.159999999999997</v>
      </c>
      <c r="Y200">
        <v>286581.81900000002</v>
      </c>
      <c r="Z200" s="254">
        <f t="shared" si="2"/>
        <v>2</v>
      </c>
    </row>
    <row r="201" spans="2:26" hidden="1" x14ac:dyDescent="0.25">
      <c r="B201" t="s">
        <v>284</v>
      </c>
      <c r="C201">
        <v>4005</v>
      </c>
      <c r="D201" t="s">
        <v>293</v>
      </c>
      <c r="E201" s="130">
        <v>45382</v>
      </c>
      <c r="F201" t="s">
        <v>286</v>
      </c>
      <c r="G201">
        <v>24.4</v>
      </c>
      <c r="H201">
        <v>11.45</v>
      </c>
      <c r="I201">
        <v>0.54</v>
      </c>
      <c r="J201">
        <v>0.06</v>
      </c>
      <c r="K201">
        <v>0.1</v>
      </c>
      <c r="L201">
        <v>0.55000000000000004</v>
      </c>
      <c r="M201">
        <v>0.02</v>
      </c>
      <c r="N201">
        <v>0</v>
      </c>
      <c r="O201">
        <v>-0.02</v>
      </c>
      <c r="P201">
        <v>-0.15</v>
      </c>
      <c r="Q201">
        <v>0</v>
      </c>
      <c r="R201">
        <v>0</v>
      </c>
      <c r="S201">
        <v>0.48</v>
      </c>
      <c r="T201">
        <v>0.47</v>
      </c>
      <c r="U201">
        <v>0.23</v>
      </c>
      <c r="V201">
        <v>0</v>
      </c>
      <c r="W201">
        <v>0</v>
      </c>
      <c r="X201">
        <v>38.15</v>
      </c>
      <c r="Y201">
        <v>549464.16399999999</v>
      </c>
      <c r="Z201" s="254">
        <f t="shared" si="2"/>
        <v>3</v>
      </c>
    </row>
    <row r="202" spans="2:26" hidden="1" x14ac:dyDescent="0.25">
      <c r="B202" t="s">
        <v>284</v>
      </c>
      <c r="C202">
        <v>4005</v>
      </c>
      <c r="D202" t="s">
        <v>293</v>
      </c>
      <c r="E202" s="130">
        <v>45382</v>
      </c>
      <c r="F202" t="s">
        <v>287</v>
      </c>
      <c r="G202">
        <v>23.48</v>
      </c>
      <c r="H202">
        <v>11.45</v>
      </c>
      <c r="I202">
        <v>0.59</v>
      </c>
      <c r="J202">
        <v>0.06</v>
      </c>
      <c r="K202">
        <v>7.0000000000000007E-2</v>
      </c>
      <c r="L202">
        <v>0</v>
      </c>
      <c r="M202">
        <v>0.03</v>
      </c>
      <c r="N202">
        <v>0</v>
      </c>
      <c r="O202">
        <v>0</v>
      </c>
      <c r="P202">
        <v>-0.15</v>
      </c>
      <c r="Q202">
        <v>0</v>
      </c>
      <c r="R202">
        <v>0</v>
      </c>
      <c r="S202">
        <v>0.48</v>
      </c>
      <c r="T202">
        <v>0.47</v>
      </c>
      <c r="U202">
        <v>0.23</v>
      </c>
      <c r="V202">
        <v>0</v>
      </c>
      <c r="W202">
        <v>0</v>
      </c>
      <c r="X202">
        <v>36.71</v>
      </c>
      <c r="Y202">
        <v>258793.26199999999</v>
      </c>
      <c r="Z202" s="254">
        <f t="shared" si="2"/>
        <v>3</v>
      </c>
    </row>
    <row r="203" spans="2:26" hidden="1" x14ac:dyDescent="0.25">
      <c r="B203" t="s">
        <v>284</v>
      </c>
      <c r="C203">
        <v>4005</v>
      </c>
      <c r="D203" t="s">
        <v>293</v>
      </c>
      <c r="E203" s="130">
        <v>45382</v>
      </c>
      <c r="F203" t="s">
        <v>288</v>
      </c>
      <c r="G203">
        <v>25.37</v>
      </c>
      <c r="H203">
        <v>11.45</v>
      </c>
      <c r="I203">
        <v>0.5</v>
      </c>
      <c r="J203">
        <v>0.06</v>
      </c>
      <c r="K203">
        <v>0.13</v>
      </c>
      <c r="L203">
        <v>1.1299999999999999</v>
      </c>
      <c r="M203">
        <v>0.02</v>
      </c>
      <c r="N203">
        <v>0</v>
      </c>
      <c r="O203">
        <v>-0.03</v>
      </c>
      <c r="P203">
        <v>-0.15</v>
      </c>
      <c r="Q203">
        <v>0</v>
      </c>
      <c r="R203">
        <v>0</v>
      </c>
      <c r="S203">
        <v>0.48</v>
      </c>
      <c r="T203">
        <v>0.47</v>
      </c>
      <c r="U203">
        <v>0.23</v>
      </c>
      <c r="V203">
        <v>0</v>
      </c>
      <c r="W203">
        <v>0</v>
      </c>
      <c r="X203">
        <v>39.659999999999997</v>
      </c>
      <c r="Y203">
        <v>290670.902</v>
      </c>
      <c r="Z203" s="254">
        <f t="shared" si="2"/>
        <v>3</v>
      </c>
    </row>
    <row r="204" spans="2:26" hidden="1" x14ac:dyDescent="0.25">
      <c r="B204" t="s">
        <v>284</v>
      </c>
      <c r="C204">
        <v>4005</v>
      </c>
      <c r="D204" t="s">
        <v>293</v>
      </c>
      <c r="E204" s="130">
        <v>45412</v>
      </c>
      <c r="F204" t="s">
        <v>286</v>
      </c>
      <c r="G204">
        <v>25.99</v>
      </c>
      <c r="H204">
        <v>10.84</v>
      </c>
      <c r="I204">
        <v>0.5</v>
      </c>
      <c r="J204">
        <v>0.06</v>
      </c>
      <c r="K204">
        <v>7.0000000000000007E-2</v>
      </c>
      <c r="L204">
        <v>0.56000000000000005</v>
      </c>
      <c r="M204">
        <v>0.02</v>
      </c>
      <c r="N204">
        <v>0</v>
      </c>
      <c r="O204">
        <v>-0.06</v>
      </c>
      <c r="P204">
        <v>-0.12</v>
      </c>
      <c r="Q204">
        <v>0</v>
      </c>
      <c r="R204">
        <v>0</v>
      </c>
      <c r="S204">
        <v>0.48</v>
      </c>
      <c r="T204">
        <v>0.46</v>
      </c>
      <c r="U204">
        <v>0.23</v>
      </c>
      <c r="V204">
        <v>0</v>
      </c>
      <c r="W204">
        <v>0</v>
      </c>
      <c r="X204">
        <v>39.03</v>
      </c>
      <c r="Y204">
        <v>564602.12199999997</v>
      </c>
      <c r="Z204" s="254">
        <f t="shared" si="2"/>
        <v>4</v>
      </c>
    </row>
    <row r="205" spans="2:26" hidden="1" x14ac:dyDescent="0.25">
      <c r="B205" t="s">
        <v>284</v>
      </c>
      <c r="C205">
        <v>4005</v>
      </c>
      <c r="D205" t="s">
        <v>293</v>
      </c>
      <c r="E205" s="130">
        <v>45412</v>
      </c>
      <c r="F205" t="s">
        <v>287</v>
      </c>
      <c r="G205">
        <v>24.84</v>
      </c>
      <c r="H205">
        <v>10.84</v>
      </c>
      <c r="I205">
        <v>0.61</v>
      </c>
      <c r="J205">
        <v>0.06</v>
      </c>
      <c r="K205">
        <v>0.06</v>
      </c>
      <c r="L205">
        <v>0</v>
      </c>
      <c r="M205">
        <v>0.03</v>
      </c>
      <c r="N205">
        <v>0</v>
      </c>
      <c r="O205">
        <v>-0.04</v>
      </c>
      <c r="P205">
        <v>-0.12</v>
      </c>
      <c r="Q205">
        <v>0</v>
      </c>
      <c r="R205">
        <v>0</v>
      </c>
      <c r="S205">
        <v>0.48</v>
      </c>
      <c r="T205">
        <v>0.46</v>
      </c>
      <c r="U205">
        <v>0.23</v>
      </c>
      <c r="V205">
        <v>0</v>
      </c>
      <c r="W205">
        <v>0</v>
      </c>
      <c r="X205">
        <v>37.44</v>
      </c>
      <c r="Y205">
        <v>269572.39799999999</v>
      </c>
      <c r="Z205" s="254">
        <f t="shared" ref="Z205:Z268" si="3">MONTH(E205)</f>
        <v>4</v>
      </c>
    </row>
    <row r="206" spans="2:26" hidden="1" x14ac:dyDescent="0.25">
      <c r="B206" t="s">
        <v>284</v>
      </c>
      <c r="C206">
        <v>4005</v>
      </c>
      <c r="D206" t="s">
        <v>293</v>
      </c>
      <c r="E206" s="130">
        <v>45412</v>
      </c>
      <c r="F206" t="s">
        <v>288</v>
      </c>
      <c r="G206">
        <v>27.28</v>
      </c>
      <c r="H206">
        <v>10.84</v>
      </c>
      <c r="I206">
        <v>0.38</v>
      </c>
      <c r="J206">
        <v>0.05</v>
      </c>
      <c r="K206">
        <v>0.08</v>
      </c>
      <c r="L206">
        <v>1.19</v>
      </c>
      <c r="M206">
        <v>0.01</v>
      </c>
      <c r="N206">
        <v>0</v>
      </c>
      <c r="O206">
        <v>-0.08</v>
      </c>
      <c r="P206">
        <v>-0.12</v>
      </c>
      <c r="Q206">
        <v>0</v>
      </c>
      <c r="R206">
        <v>0</v>
      </c>
      <c r="S206">
        <v>0.48</v>
      </c>
      <c r="T206">
        <v>0.46</v>
      </c>
      <c r="U206">
        <v>0.23</v>
      </c>
      <c r="V206">
        <v>0</v>
      </c>
      <c r="W206">
        <v>0</v>
      </c>
      <c r="X206">
        <v>40.799999999999997</v>
      </c>
      <c r="Y206">
        <v>295029.72399999999</v>
      </c>
      <c r="Z206" s="254">
        <f t="shared" si="3"/>
        <v>4</v>
      </c>
    </row>
    <row r="207" spans="2:26" hidden="1" x14ac:dyDescent="0.25">
      <c r="B207" t="s">
        <v>284</v>
      </c>
      <c r="C207">
        <v>4005</v>
      </c>
      <c r="D207" t="s">
        <v>293</v>
      </c>
      <c r="E207" s="130">
        <v>45443</v>
      </c>
      <c r="F207" t="s">
        <v>286</v>
      </c>
      <c r="G207">
        <v>30.67</v>
      </c>
      <c r="H207">
        <v>14.78</v>
      </c>
      <c r="I207">
        <v>0.67</v>
      </c>
      <c r="J207">
        <v>0.06</v>
      </c>
      <c r="K207">
        <v>0.09</v>
      </c>
      <c r="L207">
        <v>0.53</v>
      </c>
      <c r="M207">
        <v>0.11</v>
      </c>
      <c r="N207">
        <v>0</v>
      </c>
      <c r="O207">
        <v>-0.14000000000000001</v>
      </c>
      <c r="P207">
        <v>-0.1</v>
      </c>
      <c r="Q207">
        <v>0</v>
      </c>
      <c r="R207">
        <v>0</v>
      </c>
      <c r="S207">
        <v>0.48</v>
      </c>
      <c r="T207">
        <v>0.47</v>
      </c>
      <c r="U207">
        <v>0.23</v>
      </c>
      <c r="V207">
        <v>0</v>
      </c>
      <c r="W207">
        <v>0</v>
      </c>
      <c r="X207">
        <v>47.86</v>
      </c>
      <c r="Y207">
        <v>683448.33</v>
      </c>
      <c r="Z207" s="254">
        <f t="shared" si="3"/>
        <v>5</v>
      </c>
    </row>
    <row r="208" spans="2:26" hidden="1" x14ac:dyDescent="0.25">
      <c r="B208" t="s">
        <v>284</v>
      </c>
      <c r="C208">
        <v>4005</v>
      </c>
      <c r="D208" t="s">
        <v>293</v>
      </c>
      <c r="E208" s="130">
        <v>45443</v>
      </c>
      <c r="F208" t="s">
        <v>287</v>
      </c>
      <c r="G208">
        <v>25.11</v>
      </c>
      <c r="H208">
        <v>14.78</v>
      </c>
      <c r="I208">
        <v>0.54</v>
      </c>
      <c r="J208">
        <v>0.05</v>
      </c>
      <c r="K208">
        <v>0.09</v>
      </c>
      <c r="L208">
        <v>0</v>
      </c>
      <c r="M208">
        <v>0.01</v>
      </c>
      <c r="N208">
        <v>-0.01</v>
      </c>
      <c r="O208">
        <v>-0.11</v>
      </c>
      <c r="P208">
        <v>-0.1</v>
      </c>
      <c r="Q208">
        <v>0</v>
      </c>
      <c r="R208">
        <v>0</v>
      </c>
      <c r="S208">
        <v>0.48</v>
      </c>
      <c r="T208">
        <v>0.47</v>
      </c>
      <c r="U208">
        <v>0.23</v>
      </c>
      <c r="V208">
        <v>0</v>
      </c>
      <c r="W208">
        <v>0</v>
      </c>
      <c r="X208">
        <v>41.54</v>
      </c>
      <c r="Y208">
        <v>330241.09899999999</v>
      </c>
      <c r="Z208" s="254">
        <f t="shared" si="3"/>
        <v>5</v>
      </c>
    </row>
    <row r="209" spans="2:26" hidden="1" x14ac:dyDescent="0.25">
      <c r="B209" t="s">
        <v>284</v>
      </c>
      <c r="C209">
        <v>4005</v>
      </c>
      <c r="D209" t="s">
        <v>293</v>
      </c>
      <c r="E209" s="130">
        <v>45443</v>
      </c>
      <c r="F209" t="s">
        <v>288</v>
      </c>
      <c r="G209">
        <v>37.619999999999997</v>
      </c>
      <c r="H209">
        <v>14.78</v>
      </c>
      <c r="I209">
        <v>0.84</v>
      </c>
      <c r="J209">
        <v>7.0000000000000007E-2</v>
      </c>
      <c r="K209">
        <v>0.1</v>
      </c>
      <c r="L209">
        <v>1.19</v>
      </c>
      <c r="M209">
        <v>0.24</v>
      </c>
      <c r="N209">
        <v>0</v>
      </c>
      <c r="O209">
        <v>-0.17</v>
      </c>
      <c r="P209">
        <v>-0.1</v>
      </c>
      <c r="Q209">
        <v>0</v>
      </c>
      <c r="R209">
        <v>0</v>
      </c>
      <c r="S209">
        <v>0.48</v>
      </c>
      <c r="T209">
        <v>0.47</v>
      </c>
      <c r="U209">
        <v>0.23</v>
      </c>
      <c r="V209">
        <v>0</v>
      </c>
      <c r="W209">
        <v>0</v>
      </c>
      <c r="X209">
        <v>55.75</v>
      </c>
      <c r="Y209">
        <v>353207.23100000003</v>
      </c>
      <c r="Z209" s="254">
        <f t="shared" si="3"/>
        <v>5</v>
      </c>
    </row>
    <row r="210" spans="2:26" hidden="1" x14ac:dyDescent="0.25">
      <c r="B210" t="s">
        <v>284</v>
      </c>
      <c r="C210">
        <v>4005</v>
      </c>
      <c r="D210" t="s">
        <v>293</v>
      </c>
      <c r="E210" s="130">
        <v>45473</v>
      </c>
      <c r="F210" t="s">
        <v>286</v>
      </c>
      <c r="G210">
        <v>42.29</v>
      </c>
      <c r="H210">
        <v>11.88</v>
      </c>
      <c r="I210">
        <v>2.0499999999999998</v>
      </c>
      <c r="J210">
        <v>0.1</v>
      </c>
      <c r="K210">
        <v>0.2</v>
      </c>
      <c r="L210">
        <v>0.46</v>
      </c>
      <c r="M210">
        <v>0.36</v>
      </c>
      <c r="N210">
        <v>-0.01</v>
      </c>
      <c r="O210">
        <v>-0.33</v>
      </c>
      <c r="P210">
        <v>-0.08</v>
      </c>
      <c r="Q210">
        <v>0</v>
      </c>
      <c r="R210">
        <v>0</v>
      </c>
      <c r="S210">
        <v>0.48</v>
      </c>
      <c r="T210">
        <v>0.46</v>
      </c>
      <c r="U210">
        <v>0.23</v>
      </c>
      <c r="V210">
        <v>0</v>
      </c>
      <c r="W210">
        <v>0</v>
      </c>
      <c r="X210">
        <v>58.1</v>
      </c>
      <c r="Y210">
        <v>880715.05700000003</v>
      </c>
      <c r="Z210" s="254">
        <f t="shared" si="3"/>
        <v>6</v>
      </c>
    </row>
    <row r="211" spans="2:26" hidden="1" x14ac:dyDescent="0.25">
      <c r="B211" t="s">
        <v>284</v>
      </c>
      <c r="C211">
        <v>4005</v>
      </c>
      <c r="D211" t="s">
        <v>293</v>
      </c>
      <c r="E211" s="130">
        <v>45473</v>
      </c>
      <c r="F211" t="s">
        <v>287</v>
      </c>
      <c r="G211">
        <v>34.799999999999997</v>
      </c>
      <c r="H211">
        <v>11.88</v>
      </c>
      <c r="I211">
        <v>1.79</v>
      </c>
      <c r="J211">
        <v>0.09</v>
      </c>
      <c r="K211">
        <v>0.16</v>
      </c>
      <c r="L211">
        <v>0</v>
      </c>
      <c r="M211">
        <v>0.18</v>
      </c>
      <c r="N211">
        <v>-0.01</v>
      </c>
      <c r="O211">
        <v>-0.23</v>
      </c>
      <c r="P211">
        <v>-0.08</v>
      </c>
      <c r="Q211">
        <v>0</v>
      </c>
      <c r="R211">
        <v>0</v>
      </c>
      <c r="S211">
        <v>0.48</v>
      </c>
      <c r="T211">
        <v>0.46</v>
      </c>
      <c r="U211">
        <v>0.23</v>
      </c>
      <c r="V211">
        <v>0</v>
      </c>
      <c r="W211">
        <v>0</v>
      </c>
      <c r="X211">
        <v>49.75</v>
      </c>
      <c r="Y211">
        <v>407427.61599999998</v>
      </c>
      <c r="Z211" s="254">
        <f t="shared" si="3"/>
        <v>6</v>
      </c>
    </row>
    <row r="212" spans="2:26" hidden="1" x14ac:dyDescent="0.25">
      <c r="B212" t="s">
        <v>284</v>
      </c>
      <c r="C212">
        <v>4005</v>
      </c>
      <c r="D212" t="s">
        <v>293</v>
      </c>
      <c r="E212" s="130">
        <v>45473</v>
      </c>
      <c r="F212" t="s">
        <v>288</v>
      </c>
      <c r="G212">
        <v>50.63</v>
      </c>
      <c r="H212">
        <v>11.88</v>
      </c>
      <c r="I212">
        <v>2.35</v>
      </c>
      <c r="J212">
        <v>0.11</v>
      </c>
      <c r="K212">
        <v>0.25</v>
      </c>
      <c r="L212">
        <v>0.98</v>
      </c>
      <c r="M212">
        <v>0.56000000000000005</v>
      </c>
      <c r="N212">
        <v>-0.02</v>
      </c>
      <c r="O212">
        <v>-0.43</v>
      </c>
      <c r="P212">
        <v>-0.08</v>
      </c>
      <c r="Q212">
        <v>0</v>
      </c>
      <c r="R212">
        <v>0</v>
      </c>
      <c r="S212">
        <v>0.48</v>
      </c>
      <c r="T212">
        <v>0.46</v>
      </c>
      <c r="U212">
        <v>0.23</v>
      </c>
      <c r="V212">
        <v>0</v>
      </c>
      <c r="W212">
        <v>0</v>
      </c>
      <c r="X212">
        <v>67.400000000000006</v>
      </c>
      <c r="Y212">
        <v>473287.44099999999</v>
      </c>
      <c r="Z212" s="254">
        <f t="shared" si="3"/>
        <v>6</v>
      </c>
    </row>
    <row r="213" spans="2:26" hidden="1" x14ac:dyDescent="0.25">
      <c r="B213" t="s">
        <v>284</v>
      </c>
      <c r="C213">
        <v>4005</v>
      </c>
      <c r="D213" t="s">
        <v>293</v>
      </c>
      <c r="E213" s="130">
        <v>45504</v>
      </c>
      <c r="F213" t="s">
        <v>286</v>
      </c>
      <c r="G213">
        <v>38.299999999999997</v>
      </c>
      <c r="H213">
        <v>13.58</v>
      </c>
      <c r="I213">
        <v>0.81</v>
      </c>
      <c r="J213">
        <v>7.0000000000000007E-2</v>
      </c>
      <c r="K213">
        <v>0.21</v>
      </c>
      <c r="L213">
        <v>0.53</v>
      </c>
      <c r="M213">
        <v>0.32</v>
      </c>
      <c r="N213">
        <v>0.01</v>
      </c>
      <c r="O213">
        <v>-0.11</v>
      </c>
      <c r="P213">
        <v>-0.12</v>
      </c>
      <c r="Q213">
        <v>0</v>
      </c>
      <c r="R213">
        <v>0</v>
      </c>
      <c r="S213">
        <v>0.48</v>
      </c>
      <c r="T213">
        <v>0.46</v>
      </c>
      <c r="U213">
        <v>0.23</v>
      </c>
      <c r="V213">
        <v>0</v>
      </c>
      <c r="W213">
        <v>0</v>
      </c>
      <c r="X213">
        <v>54.78</v>
      </c>
      <c r="Y213">
        <v>762984.51100000006</v>
      </c>
      <c r="Z213" s="254">
        <f t="shared" si="3"/>
        <v>7</v>
      </c>
    </row>
    <row r="214" spans="2:26" hidden="1" x14ac:dyDescent="0.25">
      <c r="B214" t="s">
        <v>284</v>
      </c>
      <c r="C214">
        <v>4005</v>
      </c>
      <c r="D214" t="s">
        <v>293</v>
      </c>
      <c r="E214" s="130">
        <v>45504</v>
      </c>
      <c r="F214" t="s">
        <v>287</v>
      </c>
      <c r="G214">
        <v>28.78</v>
      </c>
      <c r="H214">
        <v>13.58</v>
      </c>
      <c r="I214">
        <v>0.68</v>
      </c>
      <c r="J214">
        <v>0.06</v>
      </c>
      <c r="K214">
        <v>0.14000000000000001</v>
      </c>
      <c r="L214">
        <v>0</v>
      </c>
      <c r="M214">
        <v>0.01</v>
      </c>
      <c r="N214">
        <v>0.01</v>
      </c>
      <c r="O214">
        <v>-0.14000000000000001</v>
      </c>
      <c r="P214">
        <v>-0.12</v>
      </c>
      <c r="Q214">
        <v>0</v>
      </c>
      <c r="R214">
        <v>0</v>
      </c>
      <c r="S214">
        <v>0.48</v>
      </c>
      <c r="T214">
        <v>0.46</v>
      </c>
      <c r="U214">
        <v>0.23</v>
      </c>
      <c r="V214">
        <v>0</v>
      </c>
      <c r="W214">
        <v>0</v>
      </c>
      <c r="X214">
        <v>44.17</v>
      </c>
      <c r="Y214">
        <v>369228.73200000002</v>
      </c>
      <c r="Z214" s="254">
        <f t="shared" si="3"/>
        <v>7</v>
      </c>
    </row>
    <row r="215" spans="2:26" hidden="1" x14ac:dyDescent="0.25">
      <c r="B215" t="s">
        <v>284</v>
      </c>
      <c r="C215">
        <v>4005</v>
      </c>
      <c r="D215" t="s">
        <v>293</v>
      </c>
      <c r="E215" s="130">
        <v>45504</v>
      </c>
      <c r="F215" t="s">
        <v>288</v>
      </c>
      <c r="G215">
        <v>48.9</v>
      </c>
      <c r="H215">
        <v>13.58</v>
      </c>
      <c r="I215">
        <v>0.97</v>
      </c>
      <c r="J215">
        <v>0.09</v>
      </c>
      <c r="K215">
        <v>0.3</v>
      </c>
      <c r="L215">
        <v>1.1299999999999999</v>
      </c>
      <c r="M215">
        <v>0.66</v>
      </c>
      <c r="N215">
        <v>0.01</v>
      </c>
      <c r="O215">
        <v>-0.08</v>
      </c>
      <c r="P215">
        <v>-0.12</v>
      </c>
      <c r="Q215">
        <v>0</v>
      </c>
      <c r="R215">
        <v>0</v>
      </c>
      <c r="S215">
        <v>0.48</v>
      </c>
      <c r="T215">
        <v>0.46</v>
      </c>
      <c r="U215">
        <v>0.23</v>
      </c>
      <c r="V215">
        <v>0</v>
      </c>
      <c r="W215">
        <v>0</v>
      </c>
      <c r="X215">
        <v>66.59</v>
      </c>
      <c r="Y215">
        <v>393755.77899999998</v>
      </c>
      <c r="Z215" s="254">
        <f t="shared" si="3"/>
        <v>7</v>
      </c>
    </row>
    <row r="216" spans="2:26" hidden="1" x14ac:dyDescent="0.25">
      <c r="B216" t="s">
        <v>284</v>
      </c>
      <c r="C216">
        <v>4005</v>
      </c>
      <c r="D216" t="s">
        <v>293</v>
      </c>
      <c r="E216" s="130">
        <v>45535</v>
      </c>
      <c r="F216" t="s">
        <v>286</v>
      </c>
      <c r="G216">
        <v>31.72</v>
      </c>
      <c r="H216">
        <v>17.04</v>
      </c>
      <c r="I216">
        <v>0.54</v>
      </c>
      <c r="J216">
        <v>0.06</v>
      </c>
      <c r="K216">
        <v>0.09</v>
      </c>
      <c r="L216">
        <v>0.65</v>
      </c>
      <c r="M216">
        <v>0.02</v>
      </c>
      <c r="N216">
        <v>0</v>
      </c>
      <c r="O216">
        <v>-0.1</v>
      </c>
      <c r="P216">
        <v>-0.18</v>
      </c>
      <c r="Q216">
        <v>0</v>
      </c>
      <c r="R216">
        <v>0</v>
      </c>
      <c r="S216">
        <v>0.48</v>
      </c>
      <c r="T216">
        <v>0.47</v>
      </c>
      <c r="U216">
        <v>0.23</v>
      </c>
      <c r="V216">
        <v>0</v>
      </c>
      <c r="W216">
        <v>0</v>
      </c>
      <c r="X216">
        <v>51.01</v>
      </c>
      <c r="Y216">
        <v>594278.70700000005</v>
      </c>
      <c r="Z216" s="254">
        <f t="shared" si="3"/>
        <v>8</v>
      </c>
    </row>
    <row r="217" spans="2:26" hidden="1" x14ac:dyDescent="0.25">
      <c r="B217" t="s">
        <v>284</v>
      </c>
      <c r="C217">
        <v>4005</v>
      </c>
      <c r="D217" t="s">
        <v>293</v>
      </c>
      <c r="E217" s="130">
        <v>45535</v>
      </c>
      <c r="F217" t="s">
        <v>287</v>
      </c>
      <c r="G217">
        <v>29.38</v>
      </c>
      <c r="H217">
        <v>17.04</v>
      </c>
      <c r="I217">
        <v>0.56000000000000005</v>
      </c>
      <c r="J217">
        <v>0.06</v>
      </c>
      <c r="K217">
        <v>7.0000000000000007E-2</v>
      </c>
      <c r="L217">
        <v>0</v>
      </c>
      <c r="M217">
        <v>0.02</v>
      </c>
      <c r="N217">
        <v>0</v>
      </c>
      <c r="O217">
        <v>-0.12</v>
      </c>
      <c r="P217">
        <v>-0.18</v>
      </c>
      <c r="Q217">
        <v>0</v>
      </c>
      <c r="R217">
        <v>0</v>
      </c>
      <c r="S217">
        <v>0.48</v>
      </c>
      <c r="T217">
        <v>0.47</v>
      </c>
      <c r="U217">
        <v>0.23</v>
      </c>
      <c r="V217">
        <v>0</v>
      </c>
      <c r="W217">
        <v>0</v>
      </c>
      <c r="X217">
        <v>48.02</v>
      </c>
      <c r="Y217">
        <v>309497.76899999997</v>
      </c>
      <c r="Z217" s="254">
        <f t="shared" si="3"/>
        <v>8</v>
      </c>
    </row>
    <row r="218" spans="2:26" hidden="1" x14ac:dyDescent="0.25">
      <c r="B218" t="s">
        <v>284</v>
      </c>
      <c r="C218">
        <v>4005</v>
      </c>
      <c r="D218" t="s">
        <v>293</v>
      </c>
      <c r="E218" s="130">
        <v>45535</v>
      </c>
      <c r="F218" t="s">
        <v>288</v>
      </c>
      <c r="G218">
        <v>34.630000000000003</v>
      </c>
      <c r="H218">
        <v>17.04</v>
      </c>
      <c r="I218">
        <v>0.52</v>
      </c>
      <c r="J218">
        <v>0.06</v>
      </c>
      <c r="K218">
        <v>0.11</v>
      </c>
      <c r="L218">
        <v>1.46</v>
      </c>
      <c r="M218">
        <v>0.03</v>
      </c>
      <c r="N218">
        <v>-0.01</v>
      </c>
      <c r="O218">
        <v>-0.09</v>
      </c>
      <c r="P218">
        <v>-0.18</v>
      </c>
      <c r="Q218">
        <v>0</v>
      </c>
      <c r="R218">
        <v>0</v>
      </c>
      <c r="S218">
        <v>0.48</v>
      </c>
      <c r="T218">
        <v>0.47</v>
      </c>
      <c r="U218">
        <v>0.23</v>
      </c>
      <c r="V218">
        <v>0</v>
      </c>
      <c r="W218">
        <v>0</v>
      </c>
      <c r="X218">
        <v>54.76</v>
      </c>
      <c r="Y218">
        <v>284780.93800000002</v>
      </c>
      <c r="Z218" s="254">
        <f t="shared" si="3"/>
        <v>8</v>
      </c>
    </row>
    <row r="219" spans="2:26" hidden="1" x14ac:dyDescent="0.25">
      <c r="B219" t="s">
        <v>284</v>
      </c>
      <c r="C219">
        <v>4005</v>
      </c>
      <c r="D219" t="s">
        <v>293</v>
      </c>
      <c r="E219" s="130">
        <v>45565</v>
      </c>
      <c r="F219" t="s">
        <v>286</v>
      </c>
      <c r="G219">
        <v>34.22</v>
      </c>
      <c r="H219">
        <v>17.850000000000001</v>
      </c>
      <c r="I219">
        <v>0.64</v>
      </c>
      <c r="J219">
        <v>0.09</v>
      </c>
      <c r="K219">
        <v>0.16</v>
      </c>
      <c r="L219">
        <v>0.48</v>
      </c>
      <c r="M219">
        <v>0.02</v>
      </c>
      <c r="N219">
        <v>0</v>
      </c>
      <c r="O219">
        <v>-0.15</v>
      </c>
      <c r="P219">
        <v>-0.26</v>
      </c>
      <c r="Q219">
        <v>0</v>
      </c>
      <c r="R219">
        <v>0</v>
      </c>
      <c r="S219">
        <v>0.48</v>
      </c>
      <c r="T219">
        <v>0.46</v>
      </c>
      <c r="U219">
        <v>0.23</v>
      </c>
      <c r="V219">
        <v>0</v>
      </c>
      <c r="W219">
        <v>0</v>
      </c>
      <c r="X219">
        <v>54.23</v>
      </c>
      <c r="Y219">
        <v>556127.495</v>
      </c>
      <c r="Z219" s="254">
        <f t="shared" si="3"/>
        <v>9</v>
      </c>
    </row>
    <row r="220" spans="2:26" hidden="1" x14ac:dyDescent="0.25">
      <c r="B220" t="s">
        <v>284</v>
      </c>
      <c r="C220">
        <v>4005</v>
      </c>
      <c r="D220" t="s">
        <v>293</v>
      </c>
      <c r="E220" s="130">
        <v>45565</v>
      </c>
      <c r="F220" t="s">
        <v>287</v>
      </c>
      <c r="G220">
        <v>29.92</v>
      </c>
      <c r="H220">
        <v>17.850000000000001</v>
      </c>
      <c r="I220">
        <v>0.56000000000000005</v>
      </c>
      <c r="J220">
        <v>0.09</v>
      </c>
      <c r="K220">
        <v>0.16</v>
      </c>
      <c r="L220">
        <v>0</v>
      </c>
      <c r="M220">
        <v>0.02</v>
      </c>
      <c r="N220">
        <v>0</v>
      </c>
      <c r="O220">
        <v>-0.12</v>
      </c>
      <c r="P220">
        <v>-0.26</v>
      </c>
      <c r="Q220">
        <v>0</v>
      </c>
      <c r="R220">
        <v>0</v>
      </c>
      <c r="S220">
        <v>0.48</v>
      </c>
      <c r="T220">
        <v>0.46</v>
      </c>
      <c r="U220">
        <v>0.23</v>
      </c>
      <c r="V220">
        <v>0</v>
      </c>
      <c r="W220">
        <v>0</v>
      </c>
      <c r="X220">
        <v>49.39</v>
      </c>
      <c r="Y220">
        <v>252781.21799999999</v>
      </c>
      <c r="Z220" s="254">
        <f t="shared" si="3"/>
        <v>9</v>
      </c>
    </row>
    <row r="221" spans="2:26" hidden="1" x14ac:dyDescent="0.25">
      <c r="B221" t="s">
        <v>284</v>
      </c>
      <c r="C221">
        <v>4005</v>
      </c>
      <c r="D221" t="s">
        <v>293</v>
      </c>
      <c r="E221" s="130">
        <v>45565</v>
      </c>
      <c r="F221" t="s">
        <v>288</v>
      </c>
      <c r="G221">
        <v>38.619999999999997</v>
      </c>
      <c r="H221">
        <v>17.850000000000001</v>
      </c>
      <c r="I221">
        <v>0.71</v>
      </c>
      <c r="J221">
        <v>0.1</v>
      </c>
      <c r="K221">
        <v>0.16</v>
      </c>
      <c r="L221">
        <v>0.97</v>
      </c>
      <c r="M221">
        <v>0.03</v>
      </c>
      <c r="N221">
        <v>0</v>
      </c>
      <c r="O221">
        <v>-0.18</v>
      </c>
      <c r="P221">
        <v>-0.26</v>
      </c>
      <c r="Q221">
        <v>0</v>
      </c>
      <c r="R221">
        <v>0</v>
      </c>
      <c r="S221">
        <v>0.48</v>
      </c>
      <c r="T221">
        <v>0.46</v>
      </c>
      <c r="U221">
        <v>0.23</v>
      </c>
      <c r="V221">
        <v>0</v>
      </c>
      <c r="W221">
        <v>0</v>
      </c>
      <c r="X221">
        <v>59.17</v>
      </c>
      <c r="Y221">
        <v>303346.277</v>
      </c>
      <c r="Z221" s="254">
        <f t="shared" si="3"/>
        <v>9</v>
      </c>
    </row>
    <row r="222" spans="2:26" hidden="1" x14ac:dyDescent="0.25">
      <c r="B222" t="s">
        <v>284</v>
      </c>
      <c r="C222">
        <v>4005</v>
      </c>
      <c r="D222" t="s">
        <v>293</v>
      </c>
      <c r="E222" s="130">
        <v>45596</v>
      </c>
      <c r="F222" t="s">
        <v>286</v>
      </c>
      <c r="G222">
        <v>39.880000000000003</v>
      </c>
      <c r="H222">
        <v>17.57</v>
      </c>
      <c r="I222">
        <v>0.49</v>
      </c>
      <c r="J222">
        <v>0.11</v>
      </c>
      <c r="K222">
        <v>0.23</v>
      </c>
      <c r="L222">
        <v>0.48</v>
      </c>
      <c r="M222">
        <v>0.02</v>
      </c>
      <c r="N222">
        <v>0</v>
      </c>
      <c r="O222">
        <v>-0.3</v>
      </c>
      <c r="P222">
        <v>-0.24</v>
      </c>
      <c r="Q222">
        <v>0</v>
      </c>
      <c r="R222">
        <v>0</v>
      </c>
      <c r="S222">
        <v>0.48</v>
      </c>
      <c r="T222">
        <v>0.47</v>
      </c>
      <c r="U222">
        <v>0.23</v>
      </c>
      <c r="V222">
        <v>0</v>
      </c>
      <c r="W222">
        <v>0</v>
      </c>
      <c r="X222">
        <v>59.42</v>
      </c>
      <c r="Y222">
        <v>555706.23699999996</v>
      </c>
      <c r="Z222" s="254">
        <f t="shared" si="3"/>
        <v>10</v>
      </c>
    </row>
    <row r="223" spans="2:26" hidden="1" x14ac:dyDescent="0.25">
      <c r="B223" t="s">
        <v>284</v>
      </c>
      <c r="C223">
        <v>4005</v>
      </c>
      <c r="D223" t="s">
        <v>293</v>
      </c>
      <c r="E223" s="130">
        <v>45596</v>
      </c>
      <c r="F223" t="s">
        <v>287</v>
      </c>
      <c r="G223">
        <v>35.82</v>
      </c>
      <c r="H223">
        <v>17.57</v>
      </c>
      <c r="I223">
        <v>0.42</v>
      </c>
      <c r="J223">
        <v>0.09</v>
      </c>
      <c r="K223">
        <v>0.17</v>
      </c>
      <c r="L223">
        <v>0</v>
      </c>
      <c r="M223">
        <v>0.01</v>
      </c>
      <c r="N223">
        <v>0.01</v>
      </c>
      <c r="O223">
        <v>-0.28999999999999998</v>
      </c>
      <c r="P223">
        <v>-0.24</v>
      </c>
      <c r="Q223">
        <v>0</v>
      </c>
      <c r="R223">
        <v>0</v>
      </c>
      <c r="S223">
        <v>0.48</v>
      </c>
      <c r="T223">
        <v>0.47</v>
      </c>
      <c r="U223">
        <v>0.23</v>
      </c>
      <c r="V223">
        <v>0</v>
      </c>
      <c r="W223">
        <v>0</v>
      </c>
      <c r="X223">
        <v>54.74</v>
      </c>
      <c r="Y223">
        <v>285732.20299999998</v>
      </c>
      <c r="Z223" s="254">
        <f t="shared" si="3"/>
        <v>10</v>
      </c>
    </row>
    <row r="224" spans="2:26" hidden="1" x14ac:dyDescent="0.25">
      <c r="B224" t="s">
        <v>284</v>
      </c>
      <c r="C224">
        <v>4005</v>
      </c>
      <c r="D224" t="s">
        <v>293</v>
      </c>
      <c r="E224" s="130">
        <v>45596</v>
      </c>
      <c r="F224" t="s">
        <v>288</v>
      </c>
      <c r="G224">
        <v>44.97</v>
      </c>
      <c r="H224">
        <v>17.57</v>
      </c>
      <c r="I224">
        <v>0.57999999999999996</v>
      </c>
      <c r="J224">
        <v>0.14000000000000001</v>
      </c>
      <c r="K224">
        <v>0.3</v>
      </c>
      <c r="L224">
        <v>1.0900000000000001</v>
      </c>
      <c r="M224">
        <v>0.02</v>
      </c>
      <c r="N224">
        <v>0</v>
      </c>
      <c r="O224">
        <v>-0.33</v>
      </c>
      <c r="P224">
        <v>-0.24</v>
      </c>
      <c r="Q224">
        <v>0</v>
      </c>
      <c r="R224">
        <v>0</v>
      </c>
      <c r="S224">
        <v>0.48</v>
      </c>
      <c r="T224">
        <v>0.47</v>
      </c>
      <c r="U224">
        <v>0.23</v>
      </c>
      <c r="V224">
        <v>0</v>
      </c>
      <c r="W224">
        <v>0</v>
      </c>
      <c r="X224">
        <v>65.27</v>
      </c>
      <c r="Y224">
        <v>269974.03399999999</v>
      </c>
      <c r="Z224" s="254">
        <f t="shared" si="3"/>
        <v>10</v>
      </c>
    </row>
    <row r="225" spans="2:26" hidden="1" x14ac:dyDescent="0.25">
      <c r="B225" t="s">
        <v>284</v>
      </c>
      <c r="C225">
        <v>4005</v>
      </c>
      <c r="D225" t="s">
        <v>293</v>
      </c>
      <c r="E225" s="130">
        <v>45626</v>
      </c>
      <c r="F225" t="s">
        <v>286</v>
      </c>
      <c r="G225">
        <v>84.1</v>
      </c>
      <c r="H225">
        <v>14.66</v>
      </c>
      <c r="I225">
        <v>0.6</v>
      </c>
      <c r="J225">
        <v>0.21</v>
      </c>
      <c r="K225">
        <v>0.17</v>
      </c>
      <c r="L225">
        <v>0.39</v>
      </c>
      <c r="M225">
        <v>0.04</v>
      </c>
      <c r="N225">
        <v>0.01</v>
      </c>
      <c r="O225">
        <v>-0.59</v>
      </c>
      <c r="P225">
        <v>-0.47</v>
      </c>
      <c r="Q225">
        <v>0</v>
      </c>
      <c r="R225">
        <v>0</v>
      </c>
      <c r="S225">
        <v>0.48</v>
      </c>
      <c r="T225">
        <v>0.46</v>
      </c>
      <c r="U225">
        <v>0.23</v>
      </c>
      <c r="V225">
        <v>2.58</v>
      </c>
      <c r="W225">
        <v>0</v>
      </c>
      <c r="X225">
        <v>102.88</v>
      </c>
      <c r="Y225">
        <v>664649.20799999998</v>
      </c>
      <c r="Z225" s="254">
        <f t="shared" si="3"/>
        <v>11</v>
      </c>
    </row>
    <row r="226" spans="2:26" hidden="1" x14ac:dyDescent="0.25">
      <c r="B226" t="s">
        <v>284</v>
      </c>
      <c r="C226">
        <v>4005</v>
      </c>
      <c r="D226" t="s">
        <v>293</v>
      </c>
      <c r="E226" s="130">
        <v>45626</v>
      </c>
      <c r="F226" t="s">
        <v>287</v>
      </c>
      <c r="G226">
        <v>79.8</v>
      </c>
      <c r="H226">
        <v>14.66</v>
      </c>
      <c r="I226">
        <v>0.59</v>
      </c>
      <c r="J226">
        <v>0.16</v>
      </c>
      <c r="K226">
        <v>0.18</v>
      </c>
      <c r="L226">
        <v>0</v>
      </c>
      <c r="M226">
        <v>0.03</v>
      </c>
      <c r="N226">
        <v>0.01</v>
      </c>
      <c r="O226">
        <v>-0.57999999999999996</v>
      </c>
      <c r="P226">
        <v>-0.47</v>
      </c>
      <c r="Q226">
        <v>0</v>
      </c>
      <c r="R226">
        <v>0</v>
      </c>
      <c r="S226">
        <v>0.48</v>
      </c>
      <c r="T226">
        <v>0.46</v>
      </c>
      <c r="U226">
        <v>0.23</v>
      </c>
      <c r="V226">
        <v>2.61</v>
      </c>
      <c r="W226">
        <v>0</v>
      </c>
      <c r="X226">
        <v>98.16</v>
      </c>
      <c r="Y226">
        <v>341579.38900000002</v>
      </c>
      <c r="Z226" s="254">
        <f t="shared" si="3"/>
        <v>11</v>
      </c>
    </row>
    <row r="227" spans="2:26" hidden="1" x14ac:dyDescent="0.25">
      <c r="B227" t="s">
        <v>284</v>
      </c>
      <c r="C227">
        <v>4005</v>
      </c>
      <c r="D227" t="s">
        <v>293</v>
      </c>
      <c r="E227" s="130">
        <v>45626</v>
      </c>
      <c r="F227" t="s">
        <v>288</v>
      </c>
      <c r="G227">
        <v>89.32</v>
      </c>
      <c r="H227">
        <v>14.66</v>
      </c>
      <c r="I227">
        <v>0.61</v>
      </c>
      <c r="J227">
        <v>0.28999999999999998</v>
      </c>
      <c r="K227">
        <v>0.15</v>
      </c>
      <c r="L227">
        <v>0.86</v>
      </c>
      <c r="M227">
        <v>0.05</v>
      </c>
      <c r="N227">
        <v>0</v>
      </c>
      <c r="O227">
        <v>-0.59</v>
      </c>
      <c r="P227">
        <v>-0.47</v>
      </c>
      <c r="Q227">
        <v>0</v>
      </c>
      <c r="R227">
        <v>0</v>
      </c>
      <c r="S227">
        <v>0.48</v>
      </c>
      <c r="T227">
        <v>0.46</v>
      </c>
      <c r="U227">
        <v>0.23</v>
      </c>
      <c r="V227">
        <v>2.5499999999999998</v>
      </c>
      <c r="W227">
        <v>0</v>
      </c>
      <c r="X227">
        <v>108.6</v>
      </c>
      <c r="Y227">
        <v>323069.81900000002</v>
      </c>
      <c r="Z227" s="254">
        <f t="shared" si="3"/>
        <v>11</v>
      </c>
    </row>
    <row r="228" spans="2:26" x14ac:dyDescent="0.25">
      <c r="B228" t="s">
        <v>284</v>
      </c>
      <c r="C228">
        <v>4006</v>
      </c>
      <c r="D228" t="s">
        <v>294</v>
      </c>
      <c r="E228" s="130">
        <v>45291</v>
      </c>
      <c r="F228" t="s">
        <v>286</v>
      </c>
      <c r="G228">
        <v>64.55</v>
      </c>
      <c r="H228">
        <v>8.9</v>
      </c>
      <c r="I228">
        <v>0.67</v>
      </c>
      <c r="J228">
        <v>0.08</v>
      </c>
      <c r="K228">
        <v>0.21</v>
      </c>
      <c r="L228">
        <v>0.46</v>
      </c>
      <c r="M228">
        <v>0.04</v>
      </c>
      <c r="N228">
        <v>0.01</v>
      </c>
      <c r="O228">
        <v>-0.26</v>
      </c>
      <c r="P228">
        <v>-0.43</v>
      </c>
      <c r="Q228">
        <v>0</v>
      </c>
      <c r="R228">
        <v>0</v>
      </c>
      <c r="S228">
        <v>0.48</v>
      </c>
      <c r="T228">
        <v>0.46</v>
      </c>
      <c r="U228">
        <v>0.23</v>
      </c>
      <c r="V228">
        <v>2.52</v>
      </c>
      <c r="W228">
        <v>0</v>
      </c>
      <c r="X228" s="131">
        <v>77.92</v>
      </c>
      <c r="Y228">
        <v>1265973.8089999999</v>
      </c>
      <c r="Z228" s="254">
        <f t="shared" si="3"/>
        <v>12</v>
      </c>
    </row>
    <row r="229" spans="2:26" hidden="1" x14ac:dyDescent="0.25">
      <c r="B229" t="s">
        <v>284</v>
      </c>
      <c r="C229">
        <v>4006</v>
      </c>
      <c r="D229" t="s">
        <v>294</v>
      </c>
      <c r="E229" s="130">
        <v>45291</v>
      </c>
      <c r="F229" t="s">
        <v>287</v>
      </c>
      <c r="G229">
        <v>57.59</v>
      </c>
      <c r="H229">
        <v>8.9</v>
      </c>
      <c r="I229">
        <v>0.56999999999999995</v>
      </c>
      <c r="J229">
        <v>7.0000000000000007E-2</v>
      </c>
      <c r="K229">
        <v>0.2</v>
      </c>
      <c r="L229">
        <v>0</v>
      </c>
      <c r="M229">
        <v>0.03</v>
      </c>
      <c r="N229">
        <v>0.02</v>
      </c>
      <c r="O229">
        <v>-0.24</v>
      </c>
      <c r="P229">
        <v>-0.43</v>
      </c>
      <c r="Q229">
        <v>0</v>
      </c>
      <c r="R229">
        <v>0</v>
      </c>
      <c r="S229">
        <v>0.48</v>
      </c>
      <c r="T229">
        <v>0.46</v>
      </c>
      <c r="U229">
        <v>0.23</v>
      </c>
      <c r="V229">
        <v>2.61</v>
      </c>
      <c r="W229">
        <v>0</v>
      </c>
      <c r="X229">
        <v>70.48</v>
      </c>
      <c r="Y229">
        <v>619083.78099999996</v>
      </c>
      <c r="Z229" s="254">
        <f t="shared" si="3"/>
        <v>12</v>
      </c>
    </row>
    <row r="230" spans="2:26" hidden="1" x14ac:dyDescent="0.25">
      <c r="B230" t="s">
        <v>284</v>
      </c>
      <c r="C230">
        <v>4006</v>
      </c>
      <c r="D230" t="s">
        <v>294</v>
      </c>
      <c r="E230" s="130">
        <v>45291</v>
      </c>
      <c r="F230" t="s">
        <v>288</v>
      </c>
      <c r="G230">
        <v>72.290000000000006</v>
      </c>
      <c r="H230">
        <v>8.9</v>
      </c>
      <c r="I230">
        <v>0.79</v>
      </c>
      <c r="J230">
        <v>0.1</v>
      </c>
      <c r="K230">
        <v>0.22</v>
      </c>
      <c r="L230">
        <v>0.98</v>
      </c>
      <c r="M230">
        <v>0.06</v>
      </c>
      <c r="N230">
        <v>0</v>
      </c>
      <c r="O230">
        <v>-0.28999999999999998</v>
      </c>
      <c r="P230">
        <v>-0.43</v>
      </c>
      <c r="Q230">
        <v>-0.01</v>
      </c>
      <c r="R230">
        <v>0</v>
      </c>
      <c r="S230">
        <v>0.48</v>
      </c>
      <c r="T230">
        <v>0.46</v>
      </c>
      <c r="U230">
        <v>0.23</v>
      </c>
      <c r="V230">
        <v>2.42</v>
      </c>
      <c r="W230">
        <v>0</v>
      </c>
      <c r="X230">
        <v>86.21</v>
      </c>
      <c r="Y230">
        <v>646890.02800000005</v>
      </c>
      <c r="Z230" s="254">
        <f t="shared" si="3"/>
        <v>12</v>
      </c>
    </row>
    <row r="231" spans="2:26" x14ac:dyDescent="0.25">
      <c r="B231" t="s">
        <v>284</v>
      </c>
      <c r="C231">
        <v>4006</v>
      </c>
      <c r="D231" t="s">
        <v>294</v>
      </c>
      <c r="E231" s="130">
        <v>45322</v>
      </c>
      <c r="F231" t="s">
        <v>286</v>
      </c>
      <c r="G231">
        <v>31.81</v>
      </c>
      <c r="H231">
        <v>10.1</v>
      </c>
      <c r="I231">
        <v>0.5</v>
      </c>
      <c r="J231">
        <v>0.05</v>
      </c>
      <c r="K231">
        <v>0.13</v>
      </c>
      <c r="L231">
        <v>0.54</v>
      </c>
      <c r="M231">
        <v>0.03</v>
      </c>
      <c r="N231">
        <v>0</v>
      </c>
      <c r="O231">
        <v>-0.16</v>
      </c>
      <c r="P231">
        <v>-0.46</v>
      </c>
      <c r="Q231">
        <v>0</v>
      </c>
      <c r="R231">
        <v>0</v>
      </c>
      <c r="S231">
        <v>0.48</v>
      </c>
      <c r="T231">
        <v>0.49</v>
      </c>
      <c r="U231">
        <v>0.23</v>
      </c>
      <c r="V231">
        <v>2.64</v>
      </c>
      <c r="W231">
        <v>0</v>
      </c>
      <c r="X231" s="131">
        <v>46.36</v>
      </c>
      <c r="Y231">
        <v>1113399.0379999999</v>
      </c>
      <c r="Z231" s="254">
        <f t="shared" si="3"/>
        <v>1</v>
      </c>
    </row>
    <row r="232" spans="2:26" hidden="1" x14ac:dyDescent="0.25">
      <c r="B232" t="s">
        <v>284</v>
      </c>
      <c r="C232">
        <v>4006</v>
      </c>
      <c r="D232" t="s">
        <v>294</v>
      </c>
      <c r="E232" s="130">
        <v>45322</v>
      </c>
      <c r="F232" t="s">
        <v>287</v>
      </c>
      <c r="G232">
        <v>30.24</v>
      </c>
      <c r="H232">
        <v>10.1</v>
      </c>
      <c r="I232">
        <v>0.55000000000000004</v>
      </c>
      <c r="J232">
        <v>0.05</v>
      </c>
      <c r="K232">
        <v>0.12</v>
      </c>
      <c r="L232">
        <v>0</v>
      </c>
      <c r="M232">
        <v>0.02</v>
      </c>
      <c r="N232">
        <v>0</v>
      </c>
      <c r="O232">
        <v>-0.14000000000000001</v>
      </c>
      <c r="P232">
        <v>-0.46</v>
      </c>
      <c r="Q232">
        <v>0</v>
      </c>
      <c r="R232">
        <v>0</v>
      </c>
      <c r="S232">
        <v>0.48</v>
      </c>
      <c r="T232">
        <v>0.49</v>
      </c>
      <c r="U232">
        <v>0.23</v>
      </c>
      <c r="V232">
        <v>2.68</v>
      </c>
      <c r="W232">
        <v>0</v>
      </c>
      <c r="X232">
        <v>44.35</v>
      </c>
      <c r="Y232">
        <v>540373.14899999998</v>
      </c>
      <c r="Z232" s="254">
        <f t="shared" si="3"/>
        <v>1</v>
      </c>
    </row>
    <row r="233" spans="2:26" hidden="1" x14ac:dyDescent="0.25">
      <c r="B233" t="s">
        <v>284</v>
      </c>
      <c r="C233">
        <v>4006</v>
      </c>
      <c r="D233" t="s">
        <v>294</v>
      </c>
      <c r="E233" s="130">
        <v>45322</v>
      </c>
      <c r="F233" t="s">
        <v>288</v>
      </c>
      <c r="G233">
        <v>33.49</v>
      </c>
      <c r="H233">
        <v>10.1</v>
      </c>
      <c r="I233">
        <v>0.45</v>
      </c>
      <c r="J233">
        <v>0.04</v>
      </c>
      <c r="K233">
        <v>0.14000000000000001</v>
      </c>
      <c r="L233">
        <v>1.1100000000000001</v>
      </c>
      <c r="M233">
        <v>0.03</v>
      </c>
      <c r="N233">
        <v>0</v>
      </c>
      <c r="O233">
        <v>-0.19</v>
      </c>
      <c r="P233">
        <v>-0.46</v>
      </c>
      <c r="Q233">
        <v>0</v>
      </c>
      <c r="R233">
        <v>0</v>
      </c>
      <c r="S233">
        <v>0.48</v>
      </c>
      <c r="T233">
        <v>0.49</v>
      </c>
      <c r="U233">
        <v>0.23</v>
      </c>
      <c r="V233">
        <v>2.59</v>
      </c>
      <c r="W233">
        <v>0</v>
      </c>
      <c r="X233">
        <v>48.52</v>
      </c>
      <c r="Y233">
        <v>573025.88899999997</v>
      </c>
      <c r="Z233" s="254">
        <f t="shared" si="3"/>
        <v>1</v>
      </c>
    </row>
    <row r="234" spans="2:26" x14ac:dyDescent="0.25">
      <c r="B234" t="s">
        <v>284</v>
      </c>
      <c r="C234">
        <v>4006</v>
      </c>
      <c r="D234" t="s">
        <v>294</v>
      </c>
      <c r="E234" s="130">
        <v>45351</v>
      </c>
      <c r="F234" t="s">
        <v>286</v>
      </c>
      <c r="G234">
        <v>23.24</v>
      </c>
      <c r="H234">
        <v>10.26</v>
      </c>
      <c r="I234">
        <v>0.41</v>
      </c>
      <c r="J234">
        <v>0.05</v>
      </c>
      <c r="K234">
        <v>0.1</v>
      </c>
      <c r="L234">
        <v>0.55000000000000004</v>
      </c>
      <c r="M234">
        <v>0.02</v>
      </c>
      <c r="N234">
        <v>-0.01</v>
      </c>
      <c r="O234">
        <v>-0.06</v>
      </c>
      <c r="P234">
        <v>-0.15</v>
      </c>
      <c r="Q234">
        <v>0</v>
      </c>
      <c r="R234">
        <v>0</v>
      </c>
      <c r="S234">
        <v>0.48</v>
      </c>
      <c r="T234">
        <v>0.46</v>
      </c>
      <c r="U234">
        <v>0.23</v>
      </c>
      <c r="V234">
        <v>0</v>
      </c>
      <c r="W234">
        <v>0</v>
      </c>
      <c r="X234" s="131">
        <v>35.58</v>
      </c>
      <c r="Y234">
        <v>1081437.5619999999</v>
      </c>
      <c r="Z234" s="254">
        <f t="shared" si="3"/>
        <v>2</v>
      </c>
    </row>
    <row r="235" spans="2:26" hidden="1" x14ac:dyDescent="0.25">
      <c r="B235" t="s">
        <v>284</v>
      </c>
      <c r="C235">
        <v>4006</v>
      </c>
      <c r="D235" t="s">
        <v>294</v>
      </c>
      <c r="E235" s="130">
        <v>45351</v>
      </c>
      <c r="F235" t="s">
        <v>287</v>
      </c>
      <c r="G235">
        <v>22.3</v>
      </c>
      <c r="H235">
        <v>10.26</v>
      </c>
      <c r="I235">
        <v>0.34</v>
      </c>
      <c r="J235">
        <v>0.04</v>
      </c>
      <c r="K235">
        <v>0.1</v>
      </c>
      <c r="L235">
        <v>0</v>
      </c>
      <c r="M235">
        <v>0.02</v>
      </c>
      <c r="N235">
        <v>0</v>
      </c>
      <c r="O235">
        <v>-0.04</v>
      </c>
      <c r="P235">
        <v>-0.15</v>
      </c>
      <c r="Q235">
        <v>0</v>
      </c>
      <c r="R235">
        <v>0</v>
      </c>
      <c r="S235">
        <v>0.48</v>
      </c>
      <c r="T235">
        <v>0.46</v>
      </c>
      <c r="U235">
        <v>0.23</v>
      </c>
      <c r="V235">
        <v>0</v>
      </c>
      <c r="W235">
        <v>0</v>
      </c>
      <c r="X235">
        <v>34.03</v>
      </c>
      <c r="Y235">
        <v>556841.022</v>
      </c>
      <c r="Z235" s="254">
        <f t="shared" si="3"/>
        <v>2</v>
      </c>
    </row>
    <row r="236" spans="2:26" hidden="1" x14ac:dyDescent="0.25">
      <c r="B236" t="s">
        <v>284</v>
      </c>
      <c r="C236">
        <v>4006</v>
      </c>
      <c r="D236" t="s">
        <v>294</v>
      </c>
      <c r="E236" s="130">
        <v>45351</v>
      </c>
      <c r="F236" t="s">
        <v>288</v>
      </c>
      <c r="G236">
        <v>24.38</v>
      </c>
      <c r="H236">
        <v>10.26</v>
      </c>
      <c r="I236">
        <v>0.5</v>
      </c>
      <c r="J236">
        <v>0.05</v>
      </c>
      <c r="K236">
        <v>0.1</v>
      </c>
      <c r="L236">
        <v>1.21</v>
      </c>
      <c r="M236">
        <v>0.02</v>
      </c>
      <c r="N236">
        <v>-0.01</v>
      </c>
      <c r="O236">
        <v>-7.0000000000000007E-2</v>
      </c>
      <c r="P236">
        <v>-0.15</v>
      </c>
      <c r="Q236">
        <v>0</v>
      </c>
      <c r="R236">
        <v>0</v>
      </c>
      <c r="S236">
        <v>0.48</v>
      </c>
      <c r="T236">
        <v>0.46</v>
      </c>
      <c r="U236">
        <v>0.23</v>
      </c>
      <c r="V236">
        <v>0</v>
      </c>
      <c r="W236">
        <v>0</v>
      </c>
      <c r="X236">
        <v>37.46</v>
      </c>
      <c r="Y236">
        <v>524596.54</v>
      </c>
      <c r="Z236" s="254">
        <f t="shared" si="3"/>
        <v>2</v>
      </c>
    </row>
    <row r="237" spans="2:26" x14ac:dyDescent="0.25">
      <c r="B237" t="s">
        <v>284</v>
      </c>
      <c r="C237">
        <v>4006</v>
      </c>
      <c r="D237" t="s">
        <v>294</v>
      </c>
      <c r="E237" s="130">
        <v>45382</v>
      </c>
      <c r="F237" t="s">
        <v>286</v>
      </c>
      <c r="G237">
        <v>24.68</v>
      </c>
      <c r="H237">
        <v>11.45</v>
      </c>
      <c r="I237">
        <v>0.54</v>
      </c>
      <c r="J237">
        <v>0.06</v>
      </c>
      <c r="K237">
        <v>0.1</v>
      </c>
      <c r="L237">
        <v>0.55000000000000004</v>
      </c>
      <c r="M237">
        <v>0.02</v>
      </c>
      <c r="N237">
        <v>0</v>
      </c>
      <c r="O237">
        <v>-0.02</v>
      </c>
      <c r="P237">
        <v>-0.14000000000000001</v>
      </c>
      <c r="Q237">
        <v>0</v>
      </c>
      <c r="R237">
        <v>0</v>
      </c>
      <c r="S237">
        <v>0.48</v>
      </c>
      <c r="T237">
        <v>0.47</v>
      </c>
      <c r="U237">
        <v>0.23</v>
      </c>
      <c r="V237">
        <v>0</v>
      </c>
      <c r="W237">
        <v>0</v>
      </c>
      <c r="X237" s="131">
        <v>38.43</v>
      </c>
      <c r="Y237">
        <v>955108.53799999994</v>
      </c>
      <c r="Z237" s="254">
        <f t="shared" si="3"/>
        <v>3</v>
      </c>
    </row>
    <row r="238" spans="2:26" hidden="1" x14ac:dyDescent="0.25">
      <c r="B238" t="s">
        <v>284</v>
      </c>
      <c r="C238">
        <v>4006</v>
      </c>
      <c r="D238" t="s">
        <v>294</v>
      </c>
      <c r="E238" s="130">
        <v>45382</v>
      </c>
      <c r="F238" t="s">
        <v>287</v>
      </c>
      <c r="G238">
        <v>23.73</v>
      </c>
      <c r="H238">
        <v>11.45</v>
      </c>
      <c r="I238">
        <v>0.59</v>
      </c>
      <c r="J238">
        <v>0.06</v>
      </c>
      <c r="K238">
        <v>7.0000000000000007E-2</v>
      </c>
      <c r="L238">
        <v>0</v>
      </c>
      <c r="M238">
        <v>0.03</v>
      </c>
      <c r="N238">
        <v>0</v>
      </c>
      <c r="O238">
        <v>0</v>
      </c>
      <c r="P238">
        <v>-0.14000000000000001</v>
      </c>
      <c r="Q238">
        <v>0</v>
      </c>
      <c r="R238">
        <v>0</v>
      </c>
      <c r="S238">
        <v>0.48</v>
      </c>
      <c r="T238">
        <v>0.47</v>
      </c>
      <c r="U238">
        <v>0.23</v>
      </c>
      <c r="V238">
        <v>0</v>
      </c>
      <c r="W238">
        <v>0</v>
      </c>
      <c r="X238">
        <v>36.96</v>
      </c>
      <c r="Y238">
        <v>459457.95600000001</v>
      </c>
      <c r="Z238" s="254">
        <f t="shared" si="3"/>
        <v>3</v>
      </c>
    </row>
    <row r="239" spans="2:26" hidden="1" x14ac:dyDescent="0.25">
      <c r="B239" t="s">
        <v>284</v>
      </c>
      <c r="C239">
        <v>4006</v>
      </c>
      <c r="D239" t="s">
        <v>294</v>
      </c>
      <c r="E239" s="130">
        <v>45382</v>
      </c>
      <c r="F239" t="s">
        <v>288</v>
      </c>
      <c r="G239">
        <v>25.67</v>
      </c>
      <c r="H239">
        <v>11.45</v>
      </c>
      <c r="I239">
        <v>0.5</v>
      </c>
      <c r="J239">
        <v>0.06</v>
      </c>
      <c r="K239">
        <v>0.13</v>
      </c>
      <c r="L239">
        <v>1.1299999999999999</v>
      </c>
      <c r="M239">
        <v>0.02</v>
      </c>
      <c r="N239">
        <v>0</v>
      </c>
      <c r="O239">
        <v>-0.03</v>
      </c>
      <c r="P239">
        <v>-0.14000000000000001</v>
      </c>
      <c r="Q239">
        <v>0</v>
      </c>
      <c r="R239">
        <v>0</v>
      </c>
      <c r="S239">
        <v>0.48</v>
      </c>
      <c r="T239">
        <v>0.47</v>
      </c>
      <c r="U239">
        <v>0.23</v>
      </c>
      <c r="V239">
        <v>0</v>
      </c>
      <c r="W239">
        <v>0</v>
      </c>
      <c r="X239">
        <v>39.97</v>
      </c>
      <c r="Y239">
        <v>495650.58199999999</v>
      </c>
      <c r="Z239" s="254">
        <f t="shared" si="3"/>
        <v>3</v>
      </c>
    </row>
    <row r="240" spans="2:26" x14ac:dyDescent="0.25">
      <c r="B240" t="s">
        <v>284</v>
      </c>
      <c r="C240">
        <v>4006</v>
      </c>
      <c r="D240" t="s">
        <v>294</v>
      </c>
      <c r="E240" s="130">
        <v>45412</v>
      </c>
      <c r="F240" t="s">
        <v>286</v>
      </c>
      <c r="G240">
        <v>26.35</v>
      </c>
      <c r="H240">
        <v>10.84</v>
      </c>
      <c r="I240">
        <v>0.5</v>
      </c>
      <c r="J240">
        <v>0.06</v>
      </c>
      <c r="K240">
        <v>7.0000000000000007E-2</v>
      </c>
      <c r="L240">
        <v>0.56000000000000005</v>
      </c>
      <c r="M240">
        <v>0.02</v>
      </c>
      <c r="N240">
        <v>0</v>
      </c>
      <c r="O240">
        <v>-0.06</v>
      </c>
      <c r="P240">
        <v>-0.11</v>
      </c>
      <c r="Q240">
        <v>0</v>
      </c>
      <c r="R240">
        <v>0</v>
      </c>
      <c r="S240">
        <v>0.48</v>
      </c>
      <c r="T240">
        <v>0.46</v>
      </c>
      <c r="U240">
        <v>0.23</v>
      </c>
      <c r="V240">
        <v>0</v>
      </c>
      <c r="W240">
        <v>0</v>
      </c>
      <c r="X240" s="131">
        <v>39.4</v>
      </c>
      <c r="Y240">
        <v>1004086.41</v>
      </c>
      <c r="Z240" s="254">
        <f t="shared" si="3"/>
        <v>4</v>
      </c>
    </row>
    <row r="241" spans="2:26" hidden="1" x14ac:dyDescent="0.25">
      <c r="B241" t="s">
        <v>284</v>
      </c>
      <c r="C241">
        <v>4006</v>
      </c>
      <c r="D241" t="s">
        <v>294</v>
      </c>
      <c r="E241" s="130">
        <v>45412</v>
      </c>
      <c r="F241" t="s">
        <v>287</v>
      </c>
      <c r="G241">
        <v>25.17</v>
      </c>
      <c r="H241">
        <v>10.84</v>
      </c>
      <c r="I241">
        <v>0.61</v>
      </c>
      <c r="J241">
        <v>0.06</v>
      </c>
      <c r="K241">
        <v>0.06</v>
      </c>
      <c r="L241">
        <v>0</v>
      </c>
      <c r="M241">
        <v>0.03</v>
      </c>
      <c r="N241">
        <v>0</v>
      </c>
      <c r="O241">
        <v>-0.04</v>
      </c>
      <c r="P241">
        <v>-0.11</v>
      </c>
      <c r="Q241">
        <v>0</v>
      </c>
      <c r="R241">
        <v>0</v>
      </c>
      <c r="S241">
        <v>0.48</v>
      </c>
      <c r="T241">
        <v>0.46</v>
      </c>
      <c r="U241">
        <v>0.23</v>
      </c>
      <c r="V241">
        <v>0</v>
      </c>
      <c r="W241">
        <v>0</v>
      </c>
      <c r="X241">
        <v>37.78</v>
      </c>
      <c r="Y241">
        <v>489443.07699999999</v>
      </c>
      <c r="Z241" s="254">
        <f t="shared" si="3"/>
        <v>4</v>
      </c>
    </row>
    <row r="242" spans="2:26" hidden="1" x14ac:dyDescent="0.25">
      <c r="B242" t="s">
        <v>284</v>
      </c>
      <c r="C242">
        <v>4006</v>
      </c>
      <c r="D242" t="s">
        <v>294</v>
      </c>
      <c r="E242" s="130">
        <v>45412</v>
      </c>
      <c r="F242" t="s">
        <v>288</v>
      </c>
      <c r="G242">
        <v>27.66</v>
      </c>
      <c r="H242">
        <v>10.84</v>
      </c>
      <c r="I242">
        <v>0.38</v>
      </c>
      <c r="J242">
        <v>0.05</v>
      </c>
      <c r="K242">
        <v>0.08</v>
      </c>
      <c r="L242">
        <v>1.19</v>
      </c>
      <c r="M242">
        <v>0.01</v>
      </c>
      <c r="N242">
        <v>0</v>
      </c>
      <c r="O242">
        <v>-0.08</v>
      </c>
      <c r="P242">
        <v>-0.11</v>
      </c>
      <c r="Q242">
        <v>0</v>
      </c>
      <c r="R242">
        <v>0</v>
      </c>
      <c r="S242">
        <v>0.48</v>
      </c>
      <c r="T242">
        <v>0.46</v>
      </c>
      <c r="U242">
        <v>0.23</v>
      </c>
      <c r="V242">
        <v>0</v>
      </c>
      <c r="W242">
        <v>0</v>
      </c>
      <c r="X242">
        <v>41.2</v>
      </c>
      <c r="Y242">
        <v>514643.33299999998</v>
      </c>
      <c r="Z242" s="254">
        <f t="shared" si="3"/>
        <v>4</v>
      </c>
    </row>
    <row r="243" spans="2:26" x14ac:dyDescent="0.25">
      <c r="B243" t="s">
        <v>284</v>
      </c>
      <c r="C243">
        <v>4006</v>
      </c>
      <c r="D243" t="s">
        <v>294</v>
      </c>
      <c r="E243" s="130">
        <v>45443</v>
      </c>
      <c r="F243" t="s">
        <v>286</v>
      </c>
      <c r="G243">
        <v>31.05</v>
      </c>
      <c r="H243">
        <v>14.78</v>
      </c>
      <c r="I243">
        <v>0.67</v>
      </c>
      <c r="J243">
        <v>0.09</v>
      </c>
      <c r="K243">
        <v>0.09</v>
      </c>
      <c r="L243">
        <v>0.53</v>
      </c>
      <c r="M243">
        <v>0.11</v>
      </c>
      <c r="N243">
        <v>0</v>
      </c>
      <c r="O243">
        <v>-0.14000000000000001</v>
      </c>
      <c r="P243">
        <v>-0.08</v>
      </c>
      <c r="Q243">
        <v>-0.01</v>
      </c>
      <c r="R243">
        <v>0</v>
      </c>
      <c r="S243">
        <v>0.48</v>
      </c>
      <c r="T243">
        <v>0.47</v>
      </c>
      <c r="U243">
        <v>0.23</v>
      </c>
      <c r="V243">
        <v>0</v>
      </c>
      <c r="W243">
        <v>0</v>
      </c>
      <c r="X243" s="131">
        <v>48.27</v>
      </c>
      <c r="Y243">
        <v>1226235.936</v>
      </c>
      <c r="Z243" s="254">
        <f t="shared" si="3"/>
        <v>5</v>
      </c>
    </row>
    <row r="244" spans="2:26" hidden="1" x14ac:dyDescent="0.25">
      <c r="B244" t="s">
        <v>284</v>
      </c>
      <c r="C244">
        <v>4006</v>
      </c>
      <c r="D244" t="s">
        <v>294</v>
      </c>
      <c r="E244" s="130">
        <v>45443</v>
      </c>
      <c r="F244" t="s">
        <v>287</v>
      </c>
      <c r="G244">
        <v>25.41</v>
      </c>
      <c r="H244">
        <v>14.78</v>
      </c>
      <c r="I244">
        <v>0.54</v>
      </c>
      <c r="J244">
        <v>7.0000000000000007E-2</v>
      </c>
      <c r="K244">
        <v>0.09</v>
      </c>
      <c r="L244">
        <v>0</v>
      </c>
      <c r="M244">
        <v>0.01</v>
      </c>
      <c r="N244">
        <v>-0.01</v>
      </c>
      <c r="O244">
        <v>-0.11</v>
      </c>
      <c r="P244">
        <v>-0.08</v>
      </c>
      <c r="Q244">
        <v>0</v>
      </c>
      <c r="R244">
        <v>0</v>
      </c>
      <c r="S244">
        <v>0.48</v>
      </c>
      <c r="T244">
        <v>0.47</v>
      </c>
      <c r="U244">
        <v>0.23</v>
      </c>
      <c r="V244">
        <v>0</v>
      </c>
      <c r="W244">
        <v>0</v>
      </c>
      <c r="X244">
        <v>41.88</v>
      </c>
      <c r="Y244">
        <v>596942.60400000005</v>
      </c>
      <c r="Z244" s="254">
        <f t="shared" si="3"/>
        <v>5</v>
      </c>
    </row>
    <row r="245" spans="2:26" hidden="1" x14ac:dyDescent="0.25">
      <c r="B245" t="s">
        <v>284</v>
      </c>
      <c r="C245">
        <v>4006</v>
      </c>
      <c r="D245" t="s">
        <v>294</v>
      </c>
      <c r="E245" s="130">
        <v>45443</v>
      </c>
      <c r="F245" t="s">
        <v>288</v>
      </c>
      <c r="G245">
        <v>38.090000000000003</v>
      </c>
      <c r="H245">
        <v>14.78</v>
      </c>
      <c r="I245">
        <v>0.84</v>
      </c>
      <c r="J245">
        <v>0.12</v>
      </c>
      <c r="K245">
        <v>0.1</v>
      </c>
      <c r="L245">
        <v>1.19</v>
      </c>
      <c r="M245">
        <v>0.24</v>
      </c>
      <c r="N245">
        <v>0</v>
      </c>
      <c r="O245">
        <v>-0.17</v>
      </c>
      <c r="P245">
        <v>-0.08</v>
      </c>
      <c r="Q245">
        <v>-0.02</v>
      </c>
      <c r="R245">
        <v>0</v>
      </c>
      <c r="S245">
        <v>0.48</v>
      </c>
      <c r="T245">
        <v>0.47</v>
      </c>
      <c r="U245">
        <v>0.23</v>
      </c>
      <c r="V245">
        <v>0</v>
      </c>
      <c r="W245">
        <v>0</v>
      </c>
      <c r="X245">
        <v>56.26</v>
      </c>
      <c r="Y245">
        <v>629293.33200000005</v>
      </c>
      <c r="Z245" s="254">
        <f t="shared" si="3"/>
        <v>5</v>
      </c>
    </row>
    <row r="246" spans="2:26" x14ac:dyDescent="0.25">
      <c r="B246" t="s">
        <v>284</v>
      </c>
      <c r="C246">
        <v>4006</v>
      </c>
      <c r="D246" t="s">
        <v>294</v>
      </c>
      <c r="E246" s="130">
        <v>45473</v>
      </c>
      <c r="F246" t="s">
        <v>286</v>
      </c>
      <c r="G246">
        <v>42.9</v>
      </c>
      <c r="H246">
        <v>11.88</v>
      </c>
      <c r="I246">
        <v>2.0499999999999998</v>
      </c>
      <c r="J246">
        <v>0.1</v>
      </c>
      <c r="K246">
        <v>0.2</v>
      </c>
      <c r="L246">
        <v>0.46</v>
      </c>
      <c r="M246">
        <v>0.36</v>
      </c>
      <c r="N246">
        <v>-0.01</v>
      </c>
      <c r="O246">
        <v>-0.33</v>
      </c>
      <c r="P246">
        <v>-0.1</v>
      </c>
      <c r="Q246">
        <v>0</v>
      </c>
      <c r="R246">
        <v>0</v>
      </c>
      <c r="S246">
        <v>0.48</v>
      </c>
      <c r="T246">
        <v>0.46</v>
      </c>
      <c r="U246">
        <v>0.23</v>
      </c>
      <c r="V246">
        <v>0</v>
      </c>
      <c r="W246">
        <v>0</v>
      </c>
      <c r="X246" s="131">
        <v>58.69</v>
      </c>
      <c r="Y246">
        <v>1566623.1939999999</v>
      </c>
      <c r="Z246" s="254">
        <f t="shared" si="3"/>
        <v>6</v>
      </c>
    </row>
    <row r="247" spans="2:26" hidden="1" x14ac:dyDescent="0.25">
      <c r="B247" t="s">
        <v>284</v>
      </c>
      <c r="C247">
        <v>4006</v>
      </c>
      <c r="D247" t="s">
        <v>294</v>
      </c>
      <c r="E247" s="130">
        <v>45473</v>
      </c>
      <c r="F247" t="s">
        <v>287</v>
      </c>
      <c r="G247">
        <v>35.299999999999997</v>
      </c>
      <c r="H247">
        <v>11.88</v>
      </c>
      <c r="I247">
        <v>1.79</v>
      </c>
      <c r="J247">
        <v>0.09</v>
      </c>
      <c r="K247">
        <v>0.16</v>
      </c>
      <c r="L247">
        <v>0</v>
      </c>
      <c r="M247">
        <v>0.18</v>
      </c>
      <c r="N247">
        <v>-0.01</v>
      </c>
      <c r="O247">
        <v>-0.23</v>
      </c>
      <c r="P247">
        <v>-0.1</v>
      </c>
      <c r="Q247">
        <v>0</v>
      </c>
      <c r="R247">
        <v>0</v>
      </c>
      <c r="S247">
        <v>0.48</v>
      </c>
      <c r="T247">
        <v>0.46</v>
      </c>
      <c r="U247">
        <v>0.23</v>
      </c>
      <c r="V247">
        <v>0</v>
      </c>
      <c r="W247">
        <v>0</v>
      </c>
      <c r="X247">
        <v>50.23</v>
      </c>
      <c r="Y247">
        <v>734509.43400000001</v>
      </c>
      <c r="Z247" s="254">
        <f t="shared" si="3"/>
        <v>6</v>
      </c>
    </row>
    <row r="248" spans="2:26" hidden="1" x14ac:dyDescent="0.25">
      <c r="B248" t="s">
        <v>284</v>
      </c>
      <c r="C248">
        <v>4006</v>
      </c>
      <c r="D248" t="s">
        <v>294</v>
      </c>
      <c r="E248" s="130">
        <v>45473</v>
      </c>
      <c r="F248" t="s">
        <v>288</v>
      </c>
      <c r="G248">
        <v>51.36</v>
      </c>
      <c r="H248">
        <v>11.88</v>
      </c>
      <c r="I248">
        <v>2.35</v>
      </c>
      <c r="J248">
        <v>0.11</v>
      </c>
      <c r="K248">
        <v>0.25</v>
      </c>
      <c r="L248">
        <v>0.98</v>
      </c>
      <c r="M248">
        <v>0.56000000000000005</v>
      </c>
      <c r="N248">
        <v>-0.02</v>
      </c>
      <c r="O248">
        <v>-0.43</v>
      </c>
      <c r="P248">
        <v>-0.1</v>
      </c>
      <c r="Q248">
        <v>-0.01</v>
      </c>
      <c r="R248">
        <v>0</v>
      </c>
      <c r="S248">
        <v>0.48</v>
      </c>
      <c r="T248">
        <v>0.46</v>
      </c>
      <c r="U248">
        <v>0.23</v>
      </c>
      <c r="V248">
        <v>0</v>
      </c>
      <c r="W248">
        <v>0</v>
      </c>
      <c r="X248">
        <v>68.11</v>
      </c>
      <c r="Y248">
        <v>832113.76</v>
      </c>
      <c r="Z248" s="254">
        <f t="shared" si="3"/>
        <v>6</v>
      </c>
    </row>
    <row r="249" spans="2:26" x14ac:dyDescent="0.25">
      <c r="B249" t="s">
        <v>284</v>
      </c>
      <c r="C249">
        <v>4006</v>
      </c>
      <c r="D249" t="s">
        <v>294</v>
      </c>
      <c r="E249" s="130">
        <v>45504</v>
      </c>
      <c r="F249" t="s">
        <v>286</v>
      </c>
      <c r="G249">
        <v>38.869999999999997</v>
      </c>
      <c r="H249">
        <v>13.58</v>
      </c>
      <c r="I249">
        <v>0.81</v>
      </c>
      <c r="J249">
        <v>0.1</v>
      </c>
      <c r="K249">
        <v>0.21</v>
      </c>
      <c r="L249">
        <v>0.53</v>
      </c>
      <c r="M249">
        <v>0.32</v>
      </c>
      <c r="N249">
        <v>0.01</v>
      </c>
      <c r="O249">
        <v>-0.11</v>
      </c>
      <c r="P249">
        <v>-0.09</v>
      </c>
      <c r="Q249">
        <v>0</v>
      </c>
      <c r="R249">
        <v>0</v>
      </c>
      <c r="S249">
        <v>0.48</v>
      </c>
      <c r="T249">
        <v>0.46</v>
      </c>
      <c r="U249">
        <v>0.23</v>
      </c>
      <c r="V249">
        <v>0</v>
      </c>
      <c r="W249">
        <v>0</v>
      </c>
      <c r="X249" s="131">
        <v>55.41</v>
      </c>
      <c r="Y249">
        <v>1383204.1680000001</v>
      </c>
      <c r="Z249" s="254">
        <f t="shared" si="3"/>
        <v>7</v>
      </c>
    </row>
    <row r="250" spans="2:26" hidden="1" x14ac:dyDescent="0.25">
      <c r="B250" t="s">
        <v>284</v>
      </c>
      <c r="C250">
        <v>4006</v>
      </c>
      <c r="D250" t="s">
        <v>294</v>
      </c>
      <c r="E250" s="130">
        <v>45504</v>
      </c>
      <c r="F250" t="s">
        <v>287</v>
      </c>
      <c r="G250">
        <v>29.23</v>
      </c>
      <c r="H250">
        <v>13.58</v>
      </c>
      <c r="I250">
        <v>0.68</v>
      </c>
      <c r="J250">
        <v>0.08</v>
      </c>
      <c r="K250">
        <v>0.14000000000000001</v>
      </c>
      <c r="L250">
        <v>0</v>
      </c>
      <c r="M250">
        <v>0.01</v>
      </c>
      <c r="N250">
        <v>0.01</v>
      </c>
      <c r="O250">
        <v>-0.14000000000000001</v>
      </c>
      <c r="P250">
        <v>-0.09</v>
      </c>
      <c r="Q250">
        <v>0</v>
      </c>
      <c r="R250">
        <v>0</v>
      </c>
      <c r="S250">
        <v>0.48</v>
      </c>
      <c r="T250">
        <v>0.46</v>
      </c>
      <c r="U250">
        <v>0.23</v>
      </c>
      <c r="V250">
        <v>0</v>
      </c>
      <c r="W250">
        <v>0</v>
      </c>
      <c r="X250">
        <v>44.67</v>
      </c>
      <c r="Y250">
        <v>671052.40700000001</v>
      </c>
      <c r="Z250" s="254">
        <f t="shared" si="3"/>
        <v>7</v>
      </c>
    </row>
    <row r="251" spans="2:26" hidden="1" x14ac:dyDescent="0.25">
      <c r="B251" t="s">
        <v>284</v>
      </c>
      <c r="C251">
        <v>4006</v>
      </c>
      <c r="D251" t="s">
        <v>294</v>
      </c>
      <c r="E251" s="130">
        <v>45504</v>
      </c>
      <c r="F251" t="s">
        <v>288</v>
      </c>
      <c r="G251">
        <v>49.61</v>
      </c>
      <c r="H251">
        <v>13.58</v>
      </c>
      <c r="I251">
        <v>0.97</v>
      </c>
      <c r="J251">
        <v>0.12</v>
      </c>
      <c r="K251">
        <v>0.3</v>
      </c>
      <c r="L251">
        <v>1.1299999999999999</v>
      </c>
      <c r="M251">
        <v>0.66</v>
      </c>
      <c r="N251">
        <v>0.01</v>
      </c>
      <c r="O251">
        <v>-0.08</v>
      </c>
      <c r="P251">
        <v>-0.09</v>
      </c>
      <c r="Q251">
        <v>0</v>
      </c>
      <c r="R251">
        <v>0</v>
      </c>
      <c r="S251">
        <v>0.48</v>
      </c>
      <c r="T251">
        <v>0.46</v>
      </c>
      <c r="U251">
        <v>0.23</v>
      </c>
      <c r="V251">
        <v>0</v>
      </c>
      <c r="W251">
        <v>0</v>
      </c>
      <c r="X251">
        <v>67.37</v>
      </c>
      <c r="Y251">
        <v>712151.76100000006</v>
      </c>
      <c r="Z251" s="254">
        <f t="shared" si="3"/>
        <v>7</v>
      </c>
    </row>
    <row r="252" spans="2:26" x14ac:dyDescent="0.25">
      <c r="B252" t="s">
        <v>284</v>
      </c>
      <c r="C252">
        <v>4006</v>
      </c>
      <c r="D252" t="s">
        <v>294</v>
      </c>
      <c r="E252" s="130">
        <v>45535</v>
      </c>
      <c r="F252" t="s">
        <v>286</v>
      </c>
      <c r="G252">
        <v>32.14</v>
      </c>
      <c r="H252">
        <v>17.04</v>
      </c>
      <c r="I252">
        <v>0.54</v>
      </c>
      <c r="J252">
        <v>0.06</v>
      </c>
      <c r="K252">
        <v>0.09</v>
      </c>
      <c r="L252">
        <v>0.65</v>
      </c>
      <c r="M252">
        <v>0.02</v>
      </c>
      <c r="N252">
        <v>0</v>
      </c>
      <c r="O252">
        <v>-0.1</v>
      </c>
      <c r="P252">
        <v>-0.14000000000000001</v>
      </c>
      <c r="Q252">
        <v>0</v>
      </c>
      <c r="R252">
        <v>0</v>
      </c>
      <c r="S252">
        <v>0.48</v>
      </c>
      <c r="T252">
        <v>0.47</v>
      </c>
      <c r="U252">
        <v>0.23</v>
      </c>
      <c r="V252">
        <v>0</v>
      </c>
      <c r="W252">
        <v>0</v>
      </c>
      <c r="X252" s="131">
        <v>51.48</v>
      </c>
      <c r="Y252">
        <v>1052832.382</v>
      </c>
      <c r="Z252" s="254">
        <f t="shared" si="3"/>
        <v>8</v>
      </c>
    </row>
    <row r="253" spans="2:26" hidden="1" x14ac:dyDescent="0.25">
      <c r="B253" t="s">
        <v>284</v>
      </c>
      <c r="C253">
        <v>4006</v>
      </c>
      <c r="D253" t="s">
        <v>294</v>
      </c>
      <c r="E253" s="130">
        <v>45535</v>
      </c>
      <c r="F253" t="s">
        <v>287</v>
      </c>
      <c r="G253">
        <v>29.7</v>
      </c>
      <c r="H253">
        <v>17.04</v>
      </c>
      <c r="I253">
        <v>0.56000000000000005</v>
      </c>
      <c r="J253">
        <v>0.06</v>
      </c>
      <c r="K253">
        <v>7.0000000000000007E-2</v>
      </c>
      <c r="L253">
        <v>0</v>
      </c>
      <c r="M253">
        <v>0.02</v>
      </c>
      <c r="N253">
        <v>0</v>
      </c>
      <c r="O253">
        <v>-0.12</v>
      </c>
      <c r="P253">
        <v>-0.14000000000000001</v>
      </c>
      <c r="Q253">
        <v>0</v>
      </c>
      <c r="R253">
        <v>0</v>
      </c>
      <c r="S253">
        <v>0.48</v>
      </c>
      <c r="T253">
        <v>0.47</v>
      </c>
      <c r="U253">
        <v>0.23</v>
      </c>
      <c r="V253">
        <v>0</v>
      </c>
      <c r="W253">
        <v>0</v>
      </c>
      <c r="X253">
        <v>48.38</v>
      </c>
      <c r="Y253">
        <v>543520.61499999999</v>
      </c>
      <c r="Z253" s="254">
        <f t="shared" si="3"/>
        <v>8</v>
      </c>
    </row>
    <row r="254" spans="2:26" hidden="1" x14ac:dyDescent="0.25">
      <c r="B254" t="s">
        <v>284</v>
      </c>
      <c r="C254">
        <v>4006</v>
      </c>
      <c r="D254" t="s">
        <v>294</v>
      </c>
      <c r="E254" s="130">
        <v>45535</v>
      </c>
      <c r="F254" t="s">
        <v>288</v>
      </c>
      <c r="G254">
        <v>35.19</v>
      </c>
      <c r="H254">
        <v>17.04</v>
      </c>
      <c r="I254">
        <v>0.52</v>
      </c>
      <c r="J254">
        <v>0.06</v>
      </c>
      <c r="K254">
        <v>0.11</v>
      </c>
      <c r="L254">
        <v>1.46</v>
      </c>
      <c r="M254">
        <v>0.03</v>
      </c>
      <c r="N254">
        <v>-0.01</v>
      </c>
      <c r="O254">
        <v>-0.09</v>
      </c>
      <c r="P254">
        <v>-0.14000000000000001</v>
      </c>
      <c r="Q254">
        <v>0</v>
      </c>
      <c r="R254">
        <v>0</v>
      </c>
      <c r="S254">
        <v>0.48</v>
      </c>
      <c r="T254">
        <v>0.47</v>
      </c>
      <c r="U254">
        <v>0.23</v>
      </c>
      <c r="V254">
        <v>0</v>
      </c>
      <c r="W254">
        <v>0</v>
      </c>
      <c r="X254">
        <v>55.35</v>
      </c>
      <c r="Y254">
        <v>509311.76699999999</v>
      </c>
      <c r="Z254" s="254">
        <f t="shared" si="3"/>
        <v>8</v>
      </c>
    </row>
    <row r="255" spans="2:26" x14ac:dyDescent="0.25">
      <c r="B255" t="s">
        <v>284</v>
      </c>
      <c r="C255">
        <v>4006</v>
      </c>
      <c r="D255" t="s">
        <v>294</v>
      </c>
      <c r="E255" s="130">
        <v>45565</v>
      </c>
      <c r="F255" t="s">
        <v>286</v>
      </c>
      <c r="G255">
        <v>34.78</v>
      </c>
      <c r="H255">
        <v>17.850000000000001</v>
      </c>
      <c r="I255">
        <v>0.64</v>
      </c>
      <c r="J255">
        <v>0.09</v>
      </c>
      <c r="K255">
        <v>0.16</v>
      </c>
      <c r="L255">
        <v>0.48</v>
      </c>
      <c r="M255">
        <v>0.02</v>
      </c>
      <c r="N255">
        <v>0</v>
      </c>
      <c r="O255">
        <v>-0.15</v>
      </c>
      <c r="P255">
        <v>-0.16</v>
      </c>
      <c r="Q255">
        <v>0</v>
      </c>
      <c r="R255">
        <v>0</v>
      </c>
      <c r="S255">
        <v>0.48</v>
      </c>
      <c r="T255">
        <v>0.46</v>
      </c>
      <c r="U255">
        <v>0.23</v>
      </c>
      <c r="V255">
        <v>0</v>
      </c>
      <c r="W255">
        <v>0</v>
      </c>
      <c r="X255" s="131">
        <v>54.88</v>
      </c>
      <c r="Y255">
        <v>998621.25800000003</v>
      </c>
      <c r="Z255" s="254">
        <f t="shared" si="3"/>
        <v>9</v>
      </c>
    </row>
    <row r="256" spans="2:26" hidden="1" x14ac:dyDescent="0.25">
      <c r="B256" t="s">
        <v>284</v>
      </c>
      <c r="C256">
        <v>4006</v>
      </c>
      <c r="D256" t="s">
        <v>294</v>
      </c>
      <c r="E256" s="130">
        <v>45565</v>
      </c>
      <c r="F256" t="s">
        <v>287</v>
      </c>
      <c r="G256">
        <v>30.38</v>
      </c>
      <c r="H256">
        <v>17.850000000000001</v>
      </c>
      <c r="I256">
        <v>0.56000000000000005</v>
      </c>
      <c r="J256">
        <v>0.09</v>
      </c>
      <c r="K256">
        <v>0.16</v>
      </c>
      <c r="L256">
        <v>0</v>
      </c>
      <c r="M256">
        <v>0.02</v>
      </c>
      <c r="N256">
        <v>0</v>
      </c>
      <c r="O256">
        <v>-0.12</v>
      </c>
      <c r="P256">
        <v>-0.16</v>
      </c>
      <c r="Q256">
        <v>0</v>
      </c>
      <c r="R256">
        <v>0</v>
      </c>
      <c r="S256">
        <v>0.48</v>
      </c>
      <c r="T256">
        <v>0.46</v>
      </c>
      <c r="U256">
        <v>0.23</v>
      </c>
      <c r="V256">
        <v>0</v>
      </c>
      <c r="W256">
        <v>0</v>
      </c>
      <c r="X256">
        <v>49.95</v>
      </c>
      <c r="Y256">
        <v>459431.72</v>
      </c>
      <c r="Z256" s="254">
        <f t="shared" si="3"/>
        <v>9</v>
      </c>
    </row>
    <row r="257" spans="2:26" hidden="1" x14ac:dyDescent="0.25">
      <c r="B257" t="s">
        <v>284</v>
      </c>
      <c r="C257">
        <v>4006</v>
      </c>
      <c r="D257" t="s">
        <v>294</v>
      </c>
      <c r="E257" s="130">
        <v>45565</v>
      </c>
      <c r="F257" t="s">
        <v>288</v>
      </c>
      <c r="G257">
        <v>39.270000000000003</v>
      </c>
      <c r="H257">
        <v>17.850000000000001</v>
      </c>
      <c r="I257">
        <v>0.71</v>
      </c>
      <c r="J257">
        <v>0.1</v>
      </c>
      <c r="K257">
        <v>0.16</v>
      </c>
      <c r="L257">
        <v>0.97</v>
      </c>
      <c r="M257">
        <v>0.03</v>
      </c>
      <c r="N257">
        <v>0</v>
      </c>
      <c r="O257">
        <v>-0.18</v>
      </c>
      <c r="P257">
        <v>-0.16</v>
      </c>
      <c r="Q257">
        <v>0</v>
      </c>
      <c r="R257">
        <v>0</v>
      </c>
      <c r="S257">
        <v>0.48</v>
      </c>
      <c r="T257">
        <v>0.46</v>
      </c>
      <c r="U257">
        <v>0.23</v>
      </c>
      <c r="V257">
        <v>0</v>
      </c>
      <c r="W257">
        <v>0</v>
      </c>
      <c r="X257">
        <v>59.92</v>
      </c>
      <c r="Y257">
        <v>539189.53799999994</v>
      </c>
      <c r="Z257" s="254">
        <f t="shared" si="3"/>
        <v>9</v>
      </c>
    </row>
    <row r="258" spans="2:26" x14ac:dyDescent="0.25">
      <c r="B258" t="s">
        <v>284</v>
      </c>
      <c r="C258">
        <v>4006</v>
      </c>
      <c r="D258" t="s">
        <v>294</v>
      </c>
      <c r="E258" s="130">
        <v>45596</v>
      </c>
      <c r="F258" t="s">
        <v>286</v>
      </c>
      <c r="G258">
        <v>40.270000000000003</v>
      </c>
      <c r="H258">
        <v>17.57</v>
      </c>
      <c r="I258">
        <v>0.49</v>
      </c>
      <c r="J258">
        <v>0.11</v>
      </c>
      <c r="K258">
        <v>0.23</v>
      </c>
      <c r="L258">
        <v>0.48</v>
      </c>
      <c r="M258">
        <v>0.02</v>
      </c>
      <c r="N258">
        <v>0</v>
      </c>
      <c r="O258">
        <v>-0.3</v>
      </c>
      <c r="P258">
        <v>-0.18</v>
      </c>
      <c r="Q258">
        <v>0</v>
      </c>
      <c r="R258">
        <v>0</v>
      </c>
      <c r="S258">
        <v>0.48</v>
      </c>
      <c r="T258">
        <v>0.47</v>
      </c>
      <c r="U258">
        <v>0.23</v>
      </c>
      <c r="V258">
        <v>0</v>
      </c>
      <c r="W258">
        <v>0</v>
      </c>
      <c r="X258" s="131">
        <v>59.86</v>
      </c>
      <c r="Y258">
        <v>1026774.186</v>
      </c>
      <c r="Z258" s="254">
        <f t="shared" si="3"/>
        <v>10</v>
      </c>
    </row>
    <row r="259" spans="2:26" hidden="1" x14ac:dyDescent="0.25">
      <c r="B259" t="s">
        <v>284</v>
      </c>
      <c r="C259">
        <v>4006</v>
      </c>
      <c r="D259" t="s">
        <v>294</v>
      </c>
      <c r="E259" s="130">
        <v>45596</v>
      </c>
      <c r="F259" t="s">
        <v>287</v>
      </c>
      <c r="G259">
        <v>36.22</v>
      </c>
      <c r="H259">
        <v>17.57</v>
      </c>
      <c r="I259">
        <v>0.42</v>
      </c>
      <c r="J259">
        <v>0.09</v>
      </c>
      <c r="K259">
        <v>0.17</v>
      </c>
      <c r="L259">
        <v>0</v>
      </c>
      <c r="M259">
        <v>0.01</v>
      </c>
      <c r="N259">
        <v>0.01</v>
      </c>
      <c r="O259">
        <v>-0.28999999999999998</v>
      </c>
      <c r="P259">
        <v>-0.18</v>
      </c>
      <c r="Q259">
        <v>0</v>
      </c>
      <c r="R259">
        <v>0</v>
      </c>
      <c r="S259">
        <v>0.48</v>
      </c>
      <c r="T259">
        <v>0.47</v>
      </c>
      <c r="U259">
        <v>0.23</v>
      </c>
      <c r="V259">
        <v>0</v>
      </c>
      <c r="W259">
        <v>0</v>
      </c>
      <c r="X259">
        <v>55.2</v>
      </c>
      <c r="Y259">
        <v>532552.88199999998</v>
      </c>
      <c r="Z259" s="254">
        <f t="shared" si="3"/>
        <v>10</v>
      </c>
    </row>
    <row r="260" spans="2:26" hidden="1" x14ac:dyDescent="0.25">
      <c r="B260" t="s">
        <v>284</v>
      </c>
      <c r="C260">
        <v>4006</v>
      </c>
      <c r="D260" t="s">
        <v>294</v>
      </c>
      <c r="E260" s="130">
        <v>45596</v>
      </c>
      <c r="F260" t="s">
        <v>288</v>
      </c>
      <c r="G260">
        <v>45.34</v>
      </c>
      <c r="H260">
        <v>17.57</v>
      </c>
      <c r="I260">
        <v>0.57999999999999996</v>
      </c>
      <c r="J260">
        <v>0.14000000000000001</v>
      </c>
      <c r="K260">
        <v>0.3</v>
      </c>
      <c r="L260">
        <v>1.0900000000000001</v>
      </c>
      <c r="M260">
        <v>0.02</v>
      </c>
      <c r="N260">
        <v>0</v>
      </c>
      <c r="O260">
        <v>-0.33</v>
      </c>
      <c r="P260">
        <v>-0.18</v>
      </c>
      <c r="Q260">
        <v>0</v>
      </c>
      <c r="R260">
        <v>0</v>
      </c>
      <c r="S260">
        <v>0.48</v>
      </c>
      <c r="T260">
        <v>0.47</v>
      </c>
      <c r="U260">
        <v>0.23</v>
      </c>
      <c r="V260">
        <v>0</v>
      </c>
      <c r="W260">
        <v>0</v>
      </c>
      <c r="X260">
        <v>65.709999999999994</v>
      </c>
      <c r="Y260">
        <v>494221.304</v>
      </c>
      <c r="Z260" s="254">
        <f t="shared" si="3"/>
        <v>10</v>
      </c>
    </row>
    <row r="261" spans="2:26" x14ac:dyDescent="0.25">
      <c r="B261" t="s">
        <v>284</v>
      </c>
      <c r="C261">
        <v>4006</v>
      </c>
      <c r="D261" t="s">
        <v>294</v>
      </c>
      <c r="E261" s="130">
        <v>45626</v>
      </c>
      <c r="F261" t="s">
        <v>286</v>
      </c>
      <c r="G261">
        <v>84.83</v>
      </c>
      <c r="H261">
        <v>14.66</v>
      </c>
      <c r="I261">
        <v>0.6</v>
      </c>
      <c r="J261">
        <v>0.14000000000000001</v>
      </c>
      <c r="K261">
        <v>0.17</v>
      </c>
      <c r="L261">
        <v>0.39</v>
      </c>
      <c r="M261">
        <v>0.04</v>
      </c>
      <c r="N261">
        <v>0.01</v>
      </c>
      <c r="O261">
        <v>-0.59</v>
      </c>
      <c r="P261">
        <v>-0.33</v>
      </c>
      <c r="Q261">
        <v>0</v>
      </c>
      <c r="R261">
        <v>0</v>
      </c>
      <c r="S261">
        <v>0.48</v>
      </c>
      <c r="T261">
        <v>0.46</v>
      </c>
      <c r="U261">
        <v>0.23</v>
      </c>
      <c r="V261">
        <v>2.58</v>
      </c>
      <c r="W261">
        <v>0</v>
      </c>
      <c r="X261" s="131">
        <v>103.68</v>
      </c>
      <c r="Y261">
        <v>1254329.0530000001</v>
      </c>
      <c r="Z261" s="254">
        <f t="shared" si="3"/>
        <v>11</v>
      </c>
    </row>
    <row r="262" spans="2:26" hidden="1" x14ac:dyDescent="0.25">
      <c r="B262" t="s">
        <v>284</v>
      </c>
      <c r="C262">
        <v>4006</v>
      </c>
      <c r="D262" t="s">
        <v>294</v>
      </c>
      <c r="E262" s="130">
        <v>45626</v>
      </c>
      <c r="F262" t="s">
        <v>287</v>
      </c>
      <c r="G262">
        <v>80.290000000000006</v>
      </c>
      <c r="H262">
        <v>14.66</v>
      </c>
      <c r="I262">
        <v>0.59</v>
      </c>
      <c r="J262">
        <v>0.11</v>
      </c>
      <c r="K262">
        <v>0.18</v>
      </c>
      <c r="L262">
        <v>0</v>
      </c>
      <c r="M262">
        <v>0.03</v>
      </c>
      <c r="N262">
        <v>0.01</v>
      </c>
      <c r="O262">
        <v>-0.57999999999999996</v>
      </c>
      <c r="P262">
        <v>-0.33</v>
      </c>
      <c r="Q262">
        <v>0</v>
      </c>
      <c r="R262">
        <v>0</v>
      </c>
      <c r="S262">
        <v>0.48</v>
      </c>
      <c r="T262">
        <v>0.46</v>
      </c>
      <c r="U262">
        <v>0.23</v>
      </c>
      <c r="V262">
        <v>2.61</v>
      </c>
      <c r="W262">
        <v>0</v>
      </c>
      <c r="X262">
        <v>98.75</v>
      </c>
      <c r="Y262">
        <v>648536.15300000005</v>
      </c>
      <c r="Z262" s="254">
        <f t="shared" si="3"/>
        <v>11</v>
      </c>
    </row>
    <row r="263" spans="2:26" hidden="1" x14ac:dyDescent="0.25">
      <c r="B263" t="s">
        <v>284</v>
      </c>
      <c r="C263">
        <v>4006</v>
      </c>
      <c r="D263" t="s">
        <v>294</v>
      </c>
      <c r="E263" s="130">
        <v>45626</v>
      </c>
      <c r="F263" t="s">
        <v>288</v>
      </c>
      <c r="G263">
        <v>90.35</v>
      </c>
      <c r="H263">
        <v>14.66</v>
      </c>
      <c r="I263">
        <v>0.61</v>
      </c>
      <c r="J263">
        <v>0.18</v>
      </c>
      <c r="K263">
        <v>0.15</v>
      </c>
      <c r="L263">
        <v>0.86</v>
      </c>
      <c r="M263">
        <v>0.05</v>
      </c>
      <c r="N263">
        <v>0</v>
      </c>
      <c r="O263">
        <v>-0.59</v>
      </c>
      <c r="P263">
        <v>-0.33</v>
      </c>
      <c r="Q263">
        <v>-0.01</v>
      </c>
      <c r="R263">
        <v>0</v>
      </c>
      <c r="S263">
        <v>0.48</v>
      </c>
      <c r="T263">
        <v>0.46</v>
      </c>
      <c r="U263">
        <v>0.23</v>
      </c>
      <c r="V263">
        <v>2.5499999999999998</v>
      </c>
      <c r="W263">
        <v>0</v>
      </c>
      <c r="X263">
        <v>109.66</v>
      </c>
      <c r="Y263">
        <v>605792.9</v>
      </c>
      <c r="Z263" s="254">
        <f t="shared" si="3"/>
        <v>11</v>
      </c>
    </row>
    <row r="264" spans="2:26" hidden="1" x14ac:dyDescent="0.25">
      <c r="B264" t="s">
        <v>284</v>
      </c>
      <c r="C264">
        <v>4007</v>
      </c>
      <c r="D264" t="s">
        <v>295</v>
      </c>
      <c r="E264" s="130">
        <v>45291</v>
      </c>
      <c r="F264" t="s">
        <v>286</v>
      </c>
      <c r="G264">
        <v>63.59</v>
      </c>
      <c r="H264">
        <v>8.8800000000000008</v>
      </c>
      <c r="I264">
        <v>0.67</v>
      </c>
      <c r="J264">
        <v>0.08</v>
      </c>
      <c r="K264">
        <v>0.21</v>
      </c>
      <c r="L264">
        <v>0.46</v>
      </c>
      <c r="M264">
        <v>0.04</v>
      </c>
      <c r="N264">
        <v>0.01</v>
      </c>
      <c r="O264">
        <v>-0.26</v>
      </c>
      <c r="P264">
        <v>-0.37</v>
      </c>
      <c r="Q264">
        <v>-0.01</v>
      </c>
      <c r="R264">
        <v>0</v>
      </c>
      <c r="S264">
        <v>0.48</v>
      </c>
      <c r="T264">
        <v>0.46</v>
      </c>
      <c r="U264">
        <v>0.23</v>
      </c>
      <c r="V264">
        <v>2.52</v>
      </c>
      <c r="W264">
        <v>0</v>
      </c>
      <c r="X264">
        <v>76.989999999999995</v>
      </c>
      <c r="Y264">
        <v>1644743.35</v>
      </c>
      <c r="Z264" s="254">
        <f t="shared" si="3"/>
        <v>12</v>
      </c>
    </row>
    <row r="265" spans="2:26" hidden="1" x14ac:dyDescent="0.25">
      <c r="B265" t="s">
        <v>284</v>
      </c>
      <c r="C265">
        <v>4007</v>
      </c>
      <c r="D265" t="s">
        <v>295</v>
      </c>
      <c r="E265" s="130">
        <v>45291</v>
      </c>
      <c r="F265" t="s">
        <v>287</v>
      </c>
      <c r="G265">
        <v>57.02</v>
      </c>
      <c r="H265">
        <v>8.8800000000000008</v>
      </c>
      <c r="I265">
        <v>0.56999999999999995</v>
      </c>
      <c r="J265">
        <v>7.0000000000000007E-2</v>
      </c>
      <c r="K265">
        <v>0.2</v>
      </c>
      <c r="L265">
        <v>0</v>
      </c>
      <c r="M265">
        <v>0.03</v>
      </c>
      <c r="N265">
        <v>0.02</v>
      </c>
      <c r="O265">
        <v>-0.24</v>
      </c>
      <c r="P265">
        <v>-0.37</v>
      </c>
      <c r="Q265">
        <v>0</v>
      </c>
      <c r="R265">
        <v>0</v>
      </c>
      <c r="S265">
        <v>0.48</v>
      </c>
      <c r="T265">
        <v>0.46</v>
      </c>
      <c r="U265">
        <v>0.23</v>
      </c>
      <c r="V265">
        <v>2.61</v>
      </c>
      <c r="W265">
        <v>0</v>
      </c>
      <c r="X265">
        <v>69.94</v>
      </c>
      <c r="Y265">
        <v>851541.49300000002</v>
      </c>
      <c r="Z265" s="254">
        <f t="shared" si="3"/>
        <v>12</v>
      </c>
    </row>
    <row r="266" spans="2:26" hidden="1" x14ac:dyDescent="0.25">
      <c r="B266" t="s">
        <v>284</v>
      </c>
      <c r="C266">
        <v>4007</v>
      </c>
      <c r="D266" t="s">
        <v>295</v>
      </c>
      <c r="E266" s="130">
        <v>45291</v>
      </c>
      <c r="F266" t="s">
        <v>288</v>
      </c>
      <c r="G266">
        <v>70.91</v>
      </c>
      <c r="H266">
        <v>8.8800000000000008</v>
      </c>
      <c r="I266">
        <v>0.79</v>
      </c>
      <c r="J266">
        <v>0.1</v>
      </c>
      <c r="K266">
        <v>0.22</v>
      </c>
      <c r="L266">
        <v>0.98</v>
      </c>
      <c r="M266">
        <v>0.06</v>
      </c>
      <c r="N266">
        <v>0</v>
      </c>
      <c r="O266">
        <v>-0.28999999999999998</v>
      </c>
      <c r="P266">
        <v>-0.37</v>
      </c>
      <c r="Q266">
        <v>-0.01</v>
      </c>
      <c r="R266">
        <v>0</v>
      </c>
      <c r="S266">
        <v>0.48</v>
      </c>
      <c r="T266">
        <v>0.46</v>
      </c>
      <c r="U266">
        <v>0.23</v>
      </c>
      <c r="V266">
        <v>2.42</v>
      </c>
      <c r="W266">
        <v>0</v>
      </c>
      <c r="X266">
        <v>84.85</v>
      </c>
      <c r="Y266">
        <v>793201.85699999996</v>
      </c>
      <c r="Z266" s="254">
        <f t="shared" si="3"/>
        <v>12</v>
      </c>
    </row>
    <row r="267" spans="2:26" hidden="1" x14ac:dyDescent="0.25">
      <c r="B267" t="s">
        <v>284</v>
      </c>
      <c r="C267">
        <v>4007</v>
      </c>
      <c r="D267" t="s">
        <v>295</v>
      </c>
      <c r="E267" s="130">
        <v>45322</v>
      </c>
      <c r="F267" t="s">
        <v>286</v>
      </c>
      <c r="G267">
        <v>31.48</v>
      </c>
      <c r="H267">
        <v>10.38</v>
      </c>
      <c r="I267">
        <v>0.5</v>
      </c>
      <c r="J267">
        <v>0.05</v>
      </c>
      <c r="K267">
        <v>0.13</v>
      </c>
      <c r="L267">
        <v>0.54</v>
      </c>
      <c r="M267">
        <v>0.03</v>
      </c>
      <c r="N267">
        <v>0</v>
      </c>
      <c r="O267">
        <v>-0.16</v>
      </c>
      <c r="P267">
        <v>-0.38</v>
      </c>
      <c r="Q267">
        <v>0</v>
      </c>
      <c r="R267">
        <v>0</v>
      </c>
      <c r="S267">
        <v>0.48</v>
      </c>
      <c r="T267">
        <v>0.49</v>
      </c>
      <c r="U267">
        <v>0.23</v>
      </c>
      <c r="V267">
        <v>2.64</v>
      </c>
      <c r="W267">
        <v>0</v>
      </c>
      <c r="X267">
        <v>46.4</v>
      </c>
      <c r="Y267">
        <v>1445796.8959999999</v>
      </c>
      <c r="Z267" s="254">
        <f t="shared" si="3"/>
        <v>1</v>
      </c>
    </row>
    <row r="268" spans="2:26" hidden="1" x14ac:dyDescent="0.25">
      <c r="B268" t="s">
        <v>284</v>
      </c>
      <c r="C268">
        <v>4007</v>
      </c>
      <c r="D268" t="s">
        <v>295</v>
      </c>
      <c r="E268" s="130">
        <v>45322</v>
      </c>
      <c r="F268" t="s">
        <v>287</v>
      </c>
      <c r="G268">
        <v>29.95</v>
      </c>
      <c r="H268">
        <v>10.38</v>
      </c>
      <c r="I268">
        <v>0.55000000000000004</v>
      </c>
      <c r="J268">
        <v>0.05</v>
      </c>
      <c r="K268">
        <v>0.12</v>
      </c>
      <c r="L268">
        <v>0</v>
      </c>
      <c r="M268">
        <v>0.02</v>
      </c>
      <c r="N268">
        <v>0</v>
      </c>
      <c r="O268">
        <v>-0.14000000000000001</v>
      </c>
      <c r="P268">
        <v>-0.38</v>
      </c>
      <c r="Q268">
        <v>0</v>
      </c>
      <c r="R268">
        <v>0</v>
      </c>
      <c r="S268">
        <v>0.48</v>
      </c>
      <c r="T268">
        <v>0.49</v>
      </c>
      <c r="U268">
        <v>0.23</v>
      </c>
      <c r="V268">
        <v>2.68</v>
      </c>
      <c r="W268">
        <v>0</v>
      </c>
      <c r="X268">
        <v>44.42</v>
      </c>
      <c r="Y268">
        <v>736572.04500000004</v>
      </c>
      <c r="Z268" s="254">
        <f t="shared" si="3"/>
        <v>1</v>
      </c>
    </row>
    <row r="269" spans="2:26" hidden="1" x14ac:dyDescent="0.25">
      <c r="B269" t="s">
        <v>284</v>
      </c>
      <c r="C269">
        <v>4007</v>
      </c>
      <c r="D269" t="s">
        <v>295</v>
      </c>
      <c r="E269" s="130">
        <v>45322</v>
      </c>
      <c r="F269" t="s">
        <v>288</v>
      </c>
      <c r="G269">
        <v>33.130000000000003</v>
      </c>
      <c r="H269">
        <v>10.38</v>
      </c>
      <c r="I269">
        <v>0.45</v>
      </c>
      <c r="J269">
        <v>0.04</v>
      </c>
      <c r="K269">
        <v>0.14000000000000001</v>
      </c>
      <c r="L269">
        <v>1.1100000000000001</v>
      </c>
      <c r="M269">
        <v>0.03</v>
      </c>
      <c r="N269">
        <v>0</v>
      </c>
      <c r="O269">
        <v>-0.19</v>
      </c>
      <c r="P269">
        <v>-0.38</v>
      </c>
      <c r="Q269">
        <v>0</v>
      </c>
      <c r="R269">
        <v>0</v>
      </c>
      <c r="S269">
        <v>0.48</v>
      </c>
      <c r="T269">
        <v>0.49</v>
      </c>
      <c r="U269">
        <v>0.23</v>
      </c>
      <c r="V269">
        <v>2.59</v>
      </c>
      <c r="W269">
        <v>0</v>
      </c>
      <c r="X269">
        <v>48.52</v>
      </c>
      <c r="Y269">
        <v>709224.85100000002</v>
      </c>
      <c r="Z269" s="254">
        <f t="shared" ref="Z269:Z332" si="4">MONTH(E269)</f>
        <v>1</v>
      </c>
    </row>
    <row r="270" spans="2:26" hidden="1" x14ac:dyDescent="0.25">
      <c r="B270" t="s">
        <v>284</v>
      </c>
      <c r="C270">
        <v>4007</v>
      </c>
      <c r="D270" t="s">
        <v>295</v>
      </c>
      <c r="E270" s="130">
        <v>45351</v>
      </c>
      <c r="F270" t="s">
        <v>286</v>
      </c>
      <c r="G270">
        <v>23.17</v>
      </c>
      <c r="H270">
        <v>10.52</v>
      </c>
      <c r="I270">
        <v>0.41</v>
      </c>
      <c r="J270">
        <v>0.05</v>
      </c>
      <c r="K270">
        <v>0.1</v>
      </c>
      <c r="L270">
        <v>0.55000000000000004</v>
      </c>
      <c r="M270">
        <v>0.02</v>
      </c>
      <c r="N270">
        <v>-0.01</v>
      </c>
      <c r="O270">
        <v>-0.06</v>
      </c>
      <c r="P270">
        <v>-0.13</v>
      </c>
      <c r="Q270">
        <v>0</v>
      </c>
      <c r="R270">
        <v>0</v>
      </c>
      <c r="S270">
        <v>0.48</v>
      </c>
      <c r="T270">
        <v>0.46</v>
      </c>
      <c r="U270">
        <v>0.23</v>
      </c>
      <c r="V270">
        <v>0</v>
      </c>
      <c r="W270">
        <v>0</v>
      </c>
      <c r="X270">
        <v>35.79</v>
      </c>
      <c r="Y270">
        <v>1419046.1259999999</v>
      </c>
      <c r="Z270" s="254">
        <f t="shared" si="4"/>
        <v>2</v>
      </c>
    </row>
    <row r="271" spans="2:26" hidden="1" x14ac:dyDescent="0.25">
      <c r="B271" t="s">
        <v>284</v>
      </c>
      <c r="C271">
        <v>4007</v>
      </c>
      <c r="D271" t="s">
        <v>295</v>
      </c>
      <c r="E271" s="130">
        <v>45351</v>
      </c>
      <c r="F271" t="s">
        <v>287</v>
      </c>
      <c r="G271">
        <v>22.23</v>
      </c>
      <c r="H271">
        <v>10.52</v>
      </c>
      <c r="I271">
        <v>0.34</v>
      </c>
      <c r="J271">
        <v>0.04</v>
      </c>
      <c r="K271">
        <v>0.1</v>
      </c>
      <c r="L271">
        <v>0</v>
      </c>
      <c r="M271">
        <v>0.02</v>
      </c>
      <c r="N271">
        <v>0</v>
      </c>
      <c r="O271">
        <v>-0.04</v>
      </c>
      <c r="P271">
        <v>-0.13</v>
      </c>
      <c r="Q271">
        <v>0</v>
      </c>
      <c r="R271">
        <v>0</v>
      </c>
      <c r="S271">
        <v>0.48</v>
      </c>
      <c r="T271">
        <v>0.46</v>
      </c>
      <c r="U271">
        <v>0.23</v>
      </c>
      <c r="V271">
        <v>0</v>
      </c>
      <c r="W271">
        <v>0</v>
      </c>
      <c r="X271">
        <v>34.24</v>
      </c>
      <c r="Y271">
        <v>753025.42799999996</v>
      </c>
      <c r="Z271" s="254">
        <f t="shared" si="4"/>
        <v>2</v>
      </c>
    </row>
    <row r="272" spans="2:26" hidden="1" x14ac:dyDescent="0.25">
      <c r="B272" t="s">
        <v>284</v>
      </c>
      <c r="C272">
        <v>4007</v>
      </c>
      <c r="D272" t="s">
        <v>295</v>
      </c>
      <c r="E272" s="130">
        <v>45351</v>
      </c>
      <c r="F272" t="s">
        <v>288</v>
      </c>
      <c r="G272">
        <v>24.31</v>
      </c>
      <c r="H272">
        <v>10.52</v>
      </c>
      <c r="I272">
        <v>0.5</v>
      </c>
      <c r="J272">
        <v>0.05</v>
      </c>
      <c r="K272">
        <v>0.1</v>
      </c>
      <c r="L272">
        <v>1.21</v>
      </c>
      <c r="M272">
        <v>0.02</v>
      </c>
      <c r="N272">
        <v>-0.01</v>
      </c>
      <c r="O272">
        <v>-7.0000000000000007E-2</v>
      </c>
      <c r="P272">
        <v>-0.13</v>
      </c>
      <c r="Q272">
        <v>0</v>
      </c>
      <c r="R272">
        <v>0</v>
      </c>
      <c r="S272">
        <v>0.48</v>
      </c>
      <c r="T272">
        <v>0.46</v>
      </c>
      <c r="U272">
        <v>0.23</v>
      </c>
      <c r="V272">
        <v>0</v>
      </c>
      <c r="W272">
        <v>0</v>
      </c>
      <c r="X272">
        <v>37.67</v>
      </c>
      <c r="Y272">
        <v>666020.69799999997</v>
      </c>
      <c r="Z272" s="254">
        <f t="shared" si="4"/>
        <v>2</v>
      </c>
    </row>
    <row r="273" spans="2:26" hidden="1" x14ac:dyDescent="0.25">
      <c r="B273" t="s">
        <v>284</v>
      </c>
      <c r="C273">
        <v>4007</v>
      </c>
      <c r="D273" t="s">
        <v>295</v>
      </c>
      <c r="E273" s="130">
        <v>45382</v>
      </c>
      <c r="F273" t="s">
        <v>286</v>
      </c>
      <c r="G273">
        <v>24.52</v>
      </c>
      <c r="H273">
        <v>11.66</v>
      </c>
      <c r="I273">
        <v>0.54</v>
      </c>
      <c r="J273">
        <v>0.06</v>
      </c>
      <c r="K273">
        <v>0.1</v>
      </c>
      <c r="L273">
        <v>0.55000000000000004</v>
      </c>
      <c r="M273">
        <v>0.02</v>
      </c>
      <c r="N273">
        <v>0</v>
      </c>
      <c r="O273">
        <v>-0.02</v>
      </c>
      <c r="P273">
        <v>-0.12</v>
      </c>
      <c r="Q273">
        <v>0</v>
      </c>
      <c r="R273">
        <v>0</v>
      </c>
      <c r="S273">
        <v>0.48</v>
      </c>
      <c r="T273">
        <v>0.47</v>
      </c>
      <c r="U273">
        <v>0.23</v>
      </c>
      <c r="V273">
        <v>0</v>
      </c>
      <c r="W273">
        <v>0</v>
      </c>
      <c r="X273">
        <v>38.5</v>
      </c>
      <c r="Y273">
        <v>1274522.0759999999</v>
      </c>
      <c r="Z273" s="254">
        <f t="shared" si="4"/>
        <v>3</v>
      </c>
    </row>
    <row r="274" spans="2:26" hidden="1" x14ac:dyDescent="0.25">
      <c r="B274" t="s">
        <v>284</v>
      </c>
      <c r="C274">
        <v>4007</v>
      </c>
      <c r="D274" t="s">
        <v>295</v>
      </c>
      <c r="E274" s="130">
        <v>45382</v>
      </c>
      <c r="F274" t="s">
        <v>287</v>
      </c>
      <c r="G274">
        <v>23.57</v>
      </c>
      <c r="H274">
        <v>11.66</v>
      </c>
      <c r="I274">
        <v>0.59</v>
      </c>
      <c r="J274">
        <v>0.06</v>
      </c>
      <c r="K274">
        <v>7.0000000000000007E-2</v>
      </c>
      <c r="L274">
        <v>0</v>
      </c>
      <c r="M274">
        <v>0.03</v>
      </c>
      <c r="N274">
        <v>0</v>
      </c>
      <c r="O274">
        <v>0</v>
      </c>
      <c r="P274">
        <v>-0.12</v>
      </c>
      <c r="Q274">
        <v>0</v>
      </c>
      <c r="R274">
        <v>0</v>
      </c>
      <c r="S274">
        <v>0.48</v>
      </c>
      <c r="T274">
        <v>0.47</v>
      </c>
      <c r="U274">
        <v>0.23</v>
      </c>
      <c r="V274">
        <v>0</v>
      </c>
      <c r="W274">
        <v>0</v>
      </c>
      <c r="X274">
        <v>37.03</v>
      </c>
      <c r="Y274">
        <v>634672.50600000005</v>
      </c>
      <c r="Z274" s="254">
        <f t="shared" si="4"/>
        <v>3</v>
      </c>
    </row>
    <row r="275" spans="2:26" hidden="1" x14ac:dyDescent="0.25">
      <c r="B275" t="s">
        <v>284</v>
      </c>
      <c r="C275">
        <v>4007</v>
      </c>
      <c r="D275" t="s">
        <v>295</v>
      </c>
      <c r="E275" s="130">
        <v>45382</v>
      </c>
      <c r="F275" t="s">
        <v>288</v>
      </c>
      <c r="G275">
        <v>25.51</v>
      </c>
      <c r="H275">
        <v>11.66</v>
      </c>
      <c r="I275">
        <v>0.5</v>
      </c>
      <c r="J275">
        <v>0.06</v>
      </c>
      <c r="K275">
        <v>0.13</v>
      </c>
      <c r="L275">
        <v>1.1299999999999999</v>
      </c>
      <c r="M275">
        <v>0.02</v>
      </c>
      <c r="N275">
        <v>0</v>
      </c>
      <c r="O275">
        <v>-0.03</v>
      </c>
      <c r="P275">
        <v>-0.12</v>
      </c>
      <c r="Q275">
        <v>0</v>
      </c>
      <c r="R275">
        <v>0</v>
      </c>
      <c r="S275">
        <v>0.48</v>
      </c>
      <c r="T275">
        <v>0.47</v>
      </c>
      <c r="U275">
        <v>0.23</v>
      </c>
      <c r="V275">
        <v>0</v>
      </c>
      <c r="W275">
        <v>0</v>
      </c>
      <c r="X275">
        <v>40.04</v>
      </c>
      <c r="Y275">
        <v>639849.56999999995</v>
      </c>
      <c r="Z275" s="254">
        <f t="shared" si="4"/>
        <v>3</v>
      </c>
    </row>
    <row r="276" spans="2:26" hidden="1" x14ac:dyDescent="0.25">
      <c r="B276" t="s">
        <v>284</v>
      </c>
      <c r="C276">
        <v>4007</v>
      </c>
      <c r="D276" t="s">
        <v>295</v>
      </c>
      <c r="E276" s="130">
        <v>45412</v>
      </c>
      <c r="F276" t="s">
        <v>286</v>
      </c>
      <c r="G276">
        <v>26.23</v>
      </c>
      <c r="H276">
        <v>11.09</v>
      </c>
      <c r="I276">
        <v>0.5</v>
      </c>
      <c r="J276">
        <v>0.06</v>
      </c>
      <c r="K276">
        <v>7.0000000000000007E-2</v>
      </c>
      <c r="L276">
        <v>0.56000000000000005</v>
      </c>
      <c r="M276">
        <v>0.02</v>
      </c>
      <c r="N276">
        <v>0</v>
      </c>
      <c r="O276">
        <v>-0.06</v>
      </c>
      <c r="P276">
        <v>-0.1</v>
      </c>
      <c r="Q276">
        <v>0</v>
      </c>
      <c r="R276">
        <v>0</v>
      </c>
      <c r="S276">
        <v>0.48</v>
      </c>
      <c r="T276">
        <v>0.46</v>
      </c>
      <c r="U276">
        <v>0.23</v>
      </c>
      <c r="V276">
        <v>0</v>
      </c>
      <c r="W276">
        <v>0</v>
      </c>
      <c r="X276">
        <v>39.54</v>
      </c>
      <c r="Y276">
        <v>1339873.2120000001</v>
      </c>
      <c r="Z276" s="254">
        <f t="shared" si="4"/>
        <v>4</v>
      </c>
    </row>
    <row r="277" spans="2:26" hidden="1" x14ac:dyDescent="0.25">
      <c r="B277" t="s">
        <v>284</v>
      </c>
      <c r="C277">
        <v>4007</v>
      </c>
      <c r="D277" t="s">
        <v>295</v>
      </c>
      <c r="E277" s="130">
        <v>45412</v>
      </c>
      <c r="F277" t="s">
        <v>287</v>
      </c>
      <c r="G277">
        <v>25.04</v>
      </c>
      <c r="H277">
        <v>11.09</v>
      </c>
      <c r="I277">
        <v>0.61</v>
      </c>
      <c r="J277">
        <v>0.06</v>
      </c>
      <c r="K277">
        <v>0.06</v>
      </c>
      <c r="L277">
        <v>0</v>
      </c>
      <c r="M277">
        <v>0.03</v>
      </c>
      <c r="N277">
        <v>0</v>
      </c>
      <c r="O277">
        <v>-0.04</v>
      </c>
      <c r="P277">
        <v>-0.1</v>
      </c>
      <c r="Q277">
        <v>0</v>
      </c>
      <c r="R277">
        <v>0</v>
      </c>
      <c r="S277">
        <v>0.48</v>
      </c>
      <c r="T277">
        <v>0.46</v>
      </c>
      <c r="U277">
        <v>0.23</v>
      </c>
      <c r="V277">
        <v>0</v>
      </c>
      <c r="W277">
        <v>0</v>
      </c>
      <c r="X277">
        <v>37.909999999999997</v>
      </c>
      <c r="Y277">
        <v>713023.36899999995</v>
      </c>
      <c r="Z277" s="254">
        <f t="shared" si="4"/>
        <v>4</v>
      </c>
    </row>
    <row r="278" spans="2:26" hidden="1" x14ac:dyDescent="0.25">
      <c r="B278" t="s">
        <v>284</v>
      </c>
      <c r="C278">
        <v>4007</v>
      </c>
      <c r="D278" t="s">
        <v>295</v>
      </c>
      <c r="E278" s="130">
        <v>45412</v>
      </c>
      <c r="F278" t="s">
        <v>288</v>
      </c>
      <c r="G278">
        <v>27.56</v>
      </c>
      <c r="H278">
        <v>11.09</v>
      </c>
      <c r="I278">
        <v>0.38</v>
      </c>
      <c r="J278">
        <v>0.05</v>
      </c>
      <c r="K278">
        <v>0.08</v>
      </c>
      <c r="L278">
        <v>1.19</v>
      </c>
      <c r="M278">
        <v>0.01</v>
      </c>
      <c r="N278">
        <v>0</v>
      </c>
      <c r="O278">
        <v>-0.08</v>
      </c>
      <c r="P278">
        <v>-0.1</v>
      </c>
      <c r="Q278">
        <v>0</v>
      </c>
      <c r="R278">
        <v>0</v>
      </c>
      <c r="S278">
        <v>0.48</v>
      </c>
      <c r="T278">
        <v>0.46</v>
      </c>
      <c r="U278">
        <v>0.23</v>
      </c>
      <c r="V278">
        <v>0</v>
      </c>
      <c r="W278">
        <v>0</v>
      </c>
      <c r="X278">
        <v>41.36</v>
      </c>
      <c r="Y278">
        <v>626849.84299999999</v>
      </c>
      <c r="Z278" s="254">
        <f t="shared" si="4"/>
        <v>4</v>
      </c>
    </row>
    <row r="279" spans="2:26" hidden="1" x14ac:dyDescent="0.25">
      <c r="B279" t="s">
        <v>284</v>
      </c>
      <c r="C279">
        <v>4007</v>
      </c>
      <c r="D279" t="s">
        <v>295</v>
      </c>
      <c r="E279" s="130">
        <v>45443</v>
      </c>
      <c r="F279" t="s">
        <v>286</v>
      </c>
      <c r="G279">
        <v>30.97</v>
      </c>
      <c r="H279">
        <v>11.52</v>
      </c>
      <c r="I279">
        <v>0.67</v>
      </c>
      <c r="J279">
        <v>0.06</v>
      </c>
      <c r="K279">
        <v>0.09</v>
      </c>
      <c r="L279">
        <v>0.53</v>
      </c>
      <c r="M279">
        <v>0.11</v>
      </c>
      <c r="N279">
        <v>0</v>
      </c>
      <c r="O279">
        <v>-0.14000000000000001</v>
      </c>
      <c r="P279">
        <v>-0.08</v>
      </c>
      <c r="Q279">
        <v>-0.01</v>
      </c>
      <c r="R279">
        <v>0</v>
      </c>
      <c r="S279">
        <v>0.48</v>
      </c>
      <c r="T279">
        <v>0.47</v>
      </c>
      <c r="U279">
        <v>0.23</v>
      </c>
      <c r="V279">
        <v>0</v>
      </c>
      <c r="W279">
        <v>0</v>
      </c>
      <c r="X279">
        <v>44.9</v>
      </c>
      <c r="Y279">
        <v>1506440.2080000001</v>
      </c>
      <c r="Z279" s="254">
        <f t="shared" si="4"/>
        <v>5</v>
      </c>
    </row>
    <row r="280" spans="2:26" hidden="1" x14ac:dyDescent="0.25">
      <c r="B280" t="s">
        <v>284</v>
      </c>
      <c r="C280">
        <v>4007</v>
      </c>
      <c r="D280" t="s">
        <v>295</v>
      </c>
      <c r="E280" s="130">
        <v>45443</v>
      </c>
      <c r="F280" t="s">
        <v>287</v>
      </c>
      <c r="G280">
        <v>25.33</v>
      </c>
      <c r="H280">
        <v>11.52</v>
      </c>
      <c r="I280">
        <v>0.54</v>
      </c>
      <c r="J280">
        <v>0.05</v>
      </c>
      <c r="K280">
        <v>0.09</v>
      </c>
      <c r="L280">
        <v>0</v>
      </c>
      <c r="M280">
        <v>0.01</v>
      </c>
      <c r="N280">
        <v>-0.01</v>
      </c>
      <c r="O280">
        <v>-0.11</v>
      </c>
      <c r="P280">
        <v>-0.08</v>
      </c>
      <c r="Q280">
        <v>0</v>
      </c>
      <c r="R280">
        <v>0</v>
      </c>
      <c r="S280">
        <v>0.48</v>
      </c>
      <c r="T280">
        <v>0.47</v>
      </c>
      <c r="U280">
        <v>0.23</v>
      </c>
      <c r="V280">
        <v>0</v>
      </c>
      <c r="W280">
        <v>0</v>
      </c>
      <c r="X280">
        <v>38.520000000000003</v>
      </c>
      <c r="Y280">
        <v>805541.99600000004</v>
      </c>
      <c r="Z280" s="254">
        <f t="shared" si="4"/>
        <v>5</v>
      </c>
    </row>
    <row r="281" spans="2:26" hidden="1" x14ac:dyDescent="0.25">
      <c r="B281" t="s">
        <v>284</v>
      </c>
      <c r="C281">
        <v>4007</v>
      </c>
      <c r="D281" t="s">
        <v>295</v>
      </c>
      <c r="E281" s="130">
        <v>45443</v>
      </c>
      <c r="F281" t="s">
        <v>288</v>
      </c>
      <c r="G281">
        <v>38.020000000000003</v>
      </c>
      <c r="H281">
        <v>11.52</v>
      </c>
      <c r="I281">
        <v>0.84</v>
      </c>
      <c r="J281">
        <v>7.0000000000000007E-2</v>
      </c>
      <c r="K281">
        <v>0.1</v>
      </c>
      <c r="L281">
        <v>1.19</v>
      </c>
      <c r="M281">
        <v>0.24</v>
      </c>
      <c r="N281">
        <v>0</v>
      </c>
      <c r="O281">
        <v>-0.17</v>
      </c>
      <c r="P281">
        <v>-0.08</v>
      </c>
      <c r="Q281">
        <v>-0.03</v>
      </c>
      <c r="R281">
        <v>0</v>
      </c>
      <c r="S281">
        <v>0.48</v>
      </c>
      <c r="T281">
        <v>0.47</v>
      </c>
      <c r="U281">
        <v>0.23</v>
      </c>
      <c r="V281">
        <v>0</v>
      </c>
      <c r="W281">
        <v>0</v>
      </c>
      <c r="X281">
        <v>52.88</v>
      </c>
      <c r="Y281">
        <v>700898.21200000006</v>
      </c>
      <c r="Z281" s="254">
        <f t="shared" si="4"/>
        <v>5</v>
      </c>
    </row>
    <row r="282" spans="2:26" hidden="1" x14ac:dyDescent="0.25">
      <c r="B282" t="s">
        <v>284</v>
      </c>
      <c r="C282">
        <v>4007</v>
      </c>
      <c r="D282" t="s">
        <v>295</v>
      </c>
      <c r="E282" s="130">
        <v>45473</v>
      </c>
      <c r="F282" t="s">
        <v>286</v>
      </c>
      <c r="G282">
        <v>42.79</v>
      </c>
      <c r="H282">
        <v>9.5399999999999991</v>
      </c>
      <c r="I282">
        <v>2.0499999999999998</v>
      </c>
      <c r="J282">
        <v>0.1</v>
      </c>
      <c r="K282">
        <v>0.2</v>
      </c>
      <c r="L282">
        <v>0.46</v>
      </c>
      <c r="M282">
        <v>0.36</v>
      </c>
      <c r="N282">
        <v>-0.01</v>
      </c>
      <c r="O282">
        <v>-0.33</v>
      </c>
      <c r="P282">
        <v>-0.09</v>
      </c>
      <c r="Q282">
        <v>0</v>
      </c>
      <c r="R282">
        <v>0</v>
      </c>
      <c r="S282">
        <v>0.48</v>
      </c>
      <c r="T282">
        <v>0.46</v>
      </c>
      <c r="U282">
        <v>0.23</v>
      </c>
      <c r="V282">
        <v>0</v>
      </c>
      <c r="W282">
        <v>0</v>
      </c>
      <c r="X282">
        <v>56.25</v>
      </c>
      <c r="Y282">
        <v>1825304.7120000001</v>
      </c>
      <c r="Z282" s="254">
        <f t="shared" si="4"/>
        <v>6</v>
      </c>
    </row>
    <row r="283" spans="2:26" hidden="1" x14ac:dyDescent="0.25">
      <c r="B283" t="s">
        <v>284</v>
      </c>
      <c r="C283">
        <v>4007</v>
      </c>
      <c r="D283" t="s">
        <v>295</v>
      </c>
      <c r="E283" s="130">
        <v>45473</v>
      </c>
      <c r="F283" t="s">
        <v>287</v>
      </c>
      <c r="G283">
        <v>35.26</v>
      </c>
      <c r="H283">
        <v>9.5399999999999991</v>
      </c>
      <c r="I283">
        <v>1.79</v>
      </c>
      <c r="J283">
        <v>0.09</v>
      </c>
      <c r="K283">
        <v>0.16</v>
      </c>
      <c r="L283">
        <v>0</v>
      </c>
      <c r="M283">
        <v>0.18</v>
      </c>
      <c r="N283">
        <v>-0.01</v>
      </c>
      <c r="O283">
        <v>-0.23</v>
      </c>
      <c r="P283">
        <v>-0.09</v>
      </c>
      <c r="Q283">
        <v>0</v>
      </c>
      <c r="R283">
        <v>0</v>
      </c>
      <c r="S283">
        <v>0.48</v>
      </c>
      <c r="T283">
        <v>0.46</v>
      </c>
      <c r="U283">
        <v>0.23</v>
      </c>
      <c r="V283">
        <v>0</v>
      </c>
      <c r="W283">
        <v>0</v>
      </c>
      <c r="X283">
        <v>47.87</v>
      </c>
      <c r="Y283">
        <v>964441.353</v>
      </c>
      <c r="Z283" s="254">
        <f t="shared" si="4"/>
        <v>6</v>
      </c>
    </row>
    <row r="284" spans="2:26" hidden="1" x14ac:dyDescent="0.25">
      <c r="B284" t="s">
        <v>284</v>
      </c>
      <c r="C284">
        <v>4007</v>
      </c>
      <c r="D284" t="s">
        <v>295</v>
      </c>
      <c r="E284" s="130">
        <v>45473</v>
      </c>
      <c r="F284" t="s">
        <v>288</v>
      </c>
      <c r="G284">
        <v>51.17</v>
      </c>
      <c r="H284">
        <v>9.5399999999999991</v>
      </c>
      <c r="I284">
        <v>2.35</v>
      </c>
      <c r="J284">
        <v>0.11</v>
      </c>
      <c r="K284">
        <v>0.25</v>
      </c>
      <c r="L284">
        <v>0.98</v>
      </c>
      <c r="M284">
        <v>0.56000000000000005</v>
      </c>
      <c r="N284">
        <v>-0.02</v>
      </c>
      <c r="O284">
        <v>-0.43</v>
      </c>
      <c r="P284">
        <v>-0.09</v>
      </c>
      <c r="Q284">
        <v>0</v>
      </c>
      <c r="R284">
        <v>0</v>
      </c>
      <c r="S284">
        <v>0.48</v>
      </c>
      <c r="T284">
        <v>0.46</v>
      </c>
      <c r="U284">
        <v>0.23</v>
      </c>
      <c r="V284">
        <v>0</v>
      </c>
      <c r="W284">
        <v>0</v>
      </c>
      <c r="X284">
        <v>65.59</v>
      </c>
      <c r="Y284">
        <v>860863.35900000005</v>
      </c>
      <c r="Z284" s="254">
        <f t="shared" si="4"/>
        <v>6</v>
      </c>
    </row>
    <row r="285" spans="2:26" hidden="1" x14ac:dyDescent="0.25">
      <c r="B285" t="s">
        <v>284</v>
      </c>
      <c r="C285">
        <v>4007</v>
      </c>
      <c r="D285" t="s">
        <v>295</v>
      </c>
      <c r="E285" s="130">
        <v>45504</v>
      </c>
      <c r="F285" t="s">
        <v>286</v>
      </c>
      <c r="G285">
        <v>38.64</v>
      </c>
      <c r="H285">
        <v>10.79</v>
      </c>
      <c r="I285">
        <v>0.81</v>
      </c>
      <c r="J285">
        <v>7.0000000000000007E-2</v>
      </c>
      <c r="K285">
        <v>0.21</v>
      </c>
      <c r="L285">
        <v>0.53</v>
      </c>
      <c r="M285">
        <v>0.32</v>
      </c>
      <c r="N285">
        <v>0.01</v>
      </c>
      <c r="O285">
        <v>-0.11</v>
      </c>
      <c r="P285">
        <v>-0.1</v>
      </c>
      <c r="Q285">
        <v>-0.01</v>
      </c>
      <c r="R285">
        <v>0</v>
      </c>
      <c r="S285">
        <v>0.48</v>
      </c>
      <c r="T285">
        <v>0.46</v>
      </c>
      <c r="U285">
        <v>0.23</v>
      </c>
      <c r="V285">
        <v>0</v>
      </c>
      <c r="W285">
        <v>0</v>
      </c>
      <c r="X285">
        <v>52.34</v>
      </c>
      <c r="Y285">
        <v>1615195.523</v>
      </c>
      <c r="Z285" s="254">
        <f t="shared" si="4"/>
        <v>7</v>
      </c>
    </row>
    <row r="286" spans="2:26" hidden="1" x14ac:dyDescent="0.25">
      <c r="B286" t="s">
        <v>284</v>
      </c>
      <c r="C286">
        <v>4007</v>
      </c>
      <c r="D286" t="s">
        <v>295</v>
      </c>
      <c r="E286" s="130">
        <v>45504</v>
      </c>
      <c r="F286" t="s">
        <v>287</v>
      </c>
      <c r="G286">
        <v>29.08</v>
      </c>
      <c r="H286">
        <v>10.79</v>
      </c>
      <c r="I286">
        <v>0.68</v>
      </c>
      <c r="J286">
        <v>0.06</v>
      </c>
      <c r="K286">
        <v>0.14000000000000001</v>
      </c>
      <c r="L286">
        <v>0</v>
      </c>
      <c r="M286">
        <v>0.01</v>
      </c>
      <c r="N286">
        <v>0.01</v>
      </c>
      <c r="O286">
        <v>-0.14000000000000001</v>
      </c>
      <c r="P286">
        <v>-0.1</v>
      </c>
      <c r="Q286">
        <v>0</v>
      </c>
      <c r="R286">
        <v>0</v>
      </c>
      <c r="S286">
        <v>0.48</v>
      </c>
      <c r="T286">
        <v>0.46</v>
      </c>
      <c r="U286">
        <v>0.23</v>
      </c>
      <c r="V286">
        <v>0</v>
      </c>
      <c r="W286">
        <v>0</v>
      </c>
      <c r="X286">
        <v>41.7</v>
      </c>
      <c r="Y286">
        <v>869432.45</v>
      </c>
      <c r="Z286" s="254">
        <f t="shared" si="4"/>
        <v>7</v>
      </c>
    </row>
    <row r="287" spans="2:26" hidden="1" x14ac:dyDescent="0.25">
      <c r="B287" t="s">
        <v>284</v>
      </c>
      <c r="C287">
        <v>4007</v>
      </c>
      <c r="D287" t="s">
        <v>295</v>
      </c>
      <c r="E287" s="130">
        <v>45504</v>
      </c>
      <c r="F287" t="s">
        <v>288</v>
      </c>
      <c r="G287">
        <v>49.28</v>
      </c>
      <c r="H287">
        <v>10.79</v>
      </c>
      <c r="I287">
        <v>0.97</v>
      </c>
      <c r="J287">
        <v>0.09</v>
      </c>
      <c r="K287">
        <v>0.3</v>
      </c>
      <c r="L287">
        <v>1.1299999999999999</v>
      </c>
      <c r="M287">
        <v>0.66</v>
      </c>
      <c r="N287">
        <v>0.01</v>
      </c>
      <c r="O287">
        <v>-0.08</v>
      </c>
      <c r="P287">
        <v>-0.1</v>
      </c>
      <c r="Q287">
        <v>-0.01</v>
      </c>
      <c r="R287">
        <v>0</v>
      </c>
      <c r="S287">
        <v>0.48</v>
      </c>
      <c r="T287">
        <v>0.46</v>
      </c>
      <c r="U287">
        <v>0.23</v>
      </c>
      <c r="V287">
        <v>0</v>
      </c>
      <c r="W287">
        <v>0</v>
      </c>
      <c r="X287">
        <v>64.19</v>
      </c>
      <c r="Y287">
        <v>745763.07299999997</v>
      </c>
      <c r="Z287" s="254">
        <f t="shared" si="4"/>
        <v>7</v>
      </c>
    </row>
    <row r="288" spans="2:26" hidden="1" x14ac:dyDescent="0.25">
      <c r="B288" t="s">
        <v>284</v>
      </c>
      <c r="C288">
        <v>4007</v>
      </c>
      <c r="D288" t="s">
        <v>295</v>
      </c>
      <c r="E288" s="130">
        <v>45535</v>
      </c>
      <c r="F288" t="s">
        <v>286</v>
      </c>
      <c r="G288">
        <v>32.1</v>
      </c>
      <c r="H288">
        <v>13.4</v>
      </c>
      <c r="I288">
        <v>0.54</v>
      </c>
      <c r="J288">
        <v>0.06</v>
      </c>
      <c r="K288">
        <v>0.09</v>
      </c>
      <c r="L288">
        <v>0.65</v>
      </c>
      <c r="M288">
        <v>0.02</v>
      </c>
      <c r="N288">
        <v>0</v>
      </c>
      <c r="O288">
        <v>-0.1</v>
      </c>
      <c r="P288">
        <v>-0.13</v>
      </c>
      <c r="Q288">
        <v>0</v>
      </c>
      <c r="R288">
        <v>0</v>
      </c>
      <c r="S288">
        <v>0.48</v>
      </c>
      <c r="T288">
        <v>0.47</v>
      </c>
      <c r="U288">
        <v>0.23</v>
      </c>
      <c r="V288">
        <v>0</v>
      </c>
      <c r="W288">
        <v>0</v>
      </c>
      <c r="X288">
        <v>47.81</v>
      </c>
      <c r="Y288">
        <v>1338700.5209999999</v>
      </c>
      <c r="Z288" s="254">
        <f t="shared" si="4"/>
        <v>8</v>
      </c>
    </row>
    <row r="289" spans="2:26" hidden="1" x14ac:dyDescent="0.25">
      <c r="B289" t="s">
        <v>284</v>
      </c>
      <c r="C289">
        <v>4007</v>
      </c>
      <c r="D289" t="s">
        <v>295</v>
      </c>
      <c r="E289" s="130">
        <v>45535</v>
      </c>
      <c r="F289" t="s">
        <v>287</v>
      </c>
      <c r="G289">
        <v>29.62</v>
      </c>
      <c r="H289">
        <v>13.4</v>
      </c>
      <c r="I289">
        <v>0.56000000000000005</v>
      </c>
      <c r="J289">
        <v>0.06</v>
      </c>
      <c r="K289">
        <v>7.0000000000000007E-2</v>
      </c>
      <c r="L289">
        <v>0</v>
      </c>
      <c r="M289">
        <v>0.02</v>
      </c>
      <c r="N289">
        <v>0</v>
      </c>
      <c r="O289">
        <v>-0.12</v>
      </c>
      <c r="P289">
        <v>-0.13</v>
      </c>
      <c r="Q289">
        <v>0</v>
      </c>
      <c r="R289">
        <v>0</v>
      </c>
      <c r="S289">
        <v>0.48</v>
      </c>
      <c r="T289">
        <v>0.47</v>
      </c>
      <c r="U289">
        <v>0.23</v>
      </c>
      <c r="V289">
        <v>0</v>
      </c>
      <c r="W289">
        <v>0</v>
      </c>
      <c r="X289">
        <v>44.66</v>
      </c>
      <c r="Y289">
        <v>749720.45900000003</v>
      </c>
      <c r="Z289" s="254">
        <f t="shared" si="4"/>
        <v>8</v>
      </c>
    </row>
    <row r="290" spans="2:26" hidden="1" x14ac:dyDescent="0.25">
      <c r="B290" t="s">
        <v>284</v>
      </c>
      <c r="C290">
        <v>4007</v>
      </c>
      <c r="D290" t="s">
        <v>295</v>
      </c>
      <c r="E290" s="130">
        <v>45535</v>
      </c>
      <c r="F290" t="s">
        <v>288</v>
      </c>
      <c r="G290">
        <v>35.21</v>
      </c>
      <c r="H290">
        <v>13.4</v>
      </c>
      <c r="I290">
        <v>0.52</v>
      </c>
      <c r="J290">
        <v>0.06</v>
      </c>
      <c r="K290">
        <v>0.11</v>
      </c>
      <c r="L290">
        <v>1.46</v>
      </c>
      <c r="M290">
        <v>0.03</v>
      </c>
      <c r="N290">
        <v>-0.01</v>
      </c>
      <c r="O290">
        <v>-0.09</v>
      </c>
      <c r="P290">
        <v>-0.13</v>
      </c>
      <c r="Q290">
        <v>0</v>
      </c>
      <c r="R290">
        <v>0</v>
      </c>
      <c r="S290">
        <v>0.48</v>
      </c>
      <c r="T290">
        <v>0.47</v>
      </c>
      <c r="U290">
        <v>0.23</v>
      </c>
      <c r="V290">
        <v>0</v>
      </c>
      <c r="W290">
        <v>0</v>
      </c>
      <c r="X290">
        <v>51.74</v>
      </c>
      <c r="Y290">
        <v>588980.06200000003</v>
      </c>
      <c r="Z290" s="254">
        <f t="shared" si="4"/>
        <v>8</v>
      </c>
    </row>
    <row r="291" spans="2:26" hidden="1" x14ac:dyDescent="0.25">
      <c r="B291" t="s">
        <v>284</v>
      </c>
      <c r="C291">
        <v>4007</v>
      </c>
      <c r="D291" t="s">
        <v>295</v>
      </c>
      <c r="E291" s="130">
        <v>45565</v>
      </c>
      <c r="F291" t="s">
        <v>286</v>
      </c>
      <c r="G291">
        <v>34.840000000000003</v>
      </c>
      <c r="H291">
        <v>13.75</v>
      </c>
      <c r="I291">
        <v>0.64</v>
      </c>
      <c r="J291">
        <v>0.09</v>
      </c>
      <c r="K291">
        <v>0.16</v>
      </c>
      <c r="L291">
        <v>0.48</v>
      </c>
      <c r="M291">
        <v>0.02</v>
      </c>
      <c r="N291">
        <v>0</v>
      </c>
      <c r="O291">
        <v>-0.15</v>
      </c>
      <c r="P291">
        <v>-0.16</v>
      </c>
      <c r="Q291">
        <v>0</v>
      </c>
      <c r="R291">
        <v>0</v>
      </c>
      <c r="S291">
        <v>0.48</v>
      </c>
      <c r="T291">
        <v>0.46</v>
      </c>
      <c r="U291">
        <v>0.23</v>
      </c>
      <c r="V291">
        <v>0</v>
      </c>
      <c r="W291">
        <v>0</v>
      </c>
      <c r="X291">
        <v>50.85</v>
      </c>
      <c r="Y291">
        <v>1350796.7579999999</v>
      </c>
      <c r="Z291" s="254">
        <f t="shared" si="4"/>
        <v>9</v>
      </c>
    </row>
    <row r="292" spans="2:26" hidden="1" x14ac:dyDescent="0.25">
      <c r="B292" t="s">
        <v>284</v>
      </c>
      <c r="C292">
        <v>4007</v>
      </c>
      <c r="D292" t="s">
        <v>295</v>
      </c>
      <c r="E292" s="130">
        <v>45565</v>
      </c>
      <c r="F292" t="s">
        <v>287</v>
      </c>
      <c r="G292">
        <v>30.45</v>
      </c>
      <c r="H292">
        <v>13.75</v>
      </c>
      <c r="I292">
        <v>0.56000000000000005</v>
      </c>
      <c r="J292">
        <v>0.09</v>
      </c>
      <c r="K292">
        <v>0.16</v>
      </c>
      <c r="L292">
        <v>0</v>
      </c>
      <c r="M292">
        <v>0.02</v>
      </c>
      <c r="N292">
        <v>0</v>
      </c>
      <c r="O292">
        <v>-0.12</v>
      </c>
      <c r="P292">
        <v>-0.16</v>
      </c>
      <c r="Q292">
        <v>0</v>
      </c>
      <c r="R292">
        <v>0</v>
      </c>
      <c r="S292">
        <v>0.48</v>
      </c>
      <c r="T292">
        <v>0.46</v>
      </c>
      <c r="U292">
        <v>0.23</v>
      </c>
      <c r="V292">
        <v>0</v>
      </c>
      <c r="W292">
        <v>0</v>
      </c>
      <c r="X292">
        <v>45.92</v>
      </c>
      <c r="Y292">
        <v>679109.34</v>
      </c>
      <c r="Z292" s="254">
        <f t="shared" si="4"/>
        <v>9</v>
      </c>
    </row>
    <row r="293" spans="2:26" hidden="1" x14ac:dyDescent="0.25">
      <c r="B293" t="s">
        <v>284</v>
      </c>
      <c r="C293">
        <v>4007</v>
      </c>
      <c r="D293" t="s">
        <v>295</v>
      </c>
      <c r="E293" s="130">
        <v>45565</v>
      </c>
      <c r="F293" t="s">
        <v>288</v>
      </c>
      <c r="G293">
        <v>39.33</v>
      </c>
      <c r="H293">
        <v>13.75</v>
      </c>
      <c r="I293">
        <v>0.71</v>
      </c>
      <c r="J293">
        <v>0.1</v>
      </c>
      <c r="K293">
        <v>0.16</v>
      </c>
      <c r="L293">
        <v>0.97</v>
      </c>
      <c r="M293">
        <v>0.03</v>
      </c>
      <c r="N293">
        <v>0</v>
      </c>
      <c r="O293">
        <v>-0.18</v>
      </c>
      <c r="P293">
        <v>-0.16</v>
      </c>
      <c r="Q293">
        <v>0</v>
      </c>
      <c r="R293">
        <v>0</v>
      </c>
      <c r="S293">
        <v>0.48</v>
      </c>
      <c r="T293">
        <v>0.46</v>
      </c>
      <c r="U293">
        <v>0.23</v>
      </c>
      <c r="V293">
        <v>0</v>
      </c>
      <c r="W293">
        <v>0</v>
      </c>
      <c r="X293">
        <v>55.89</v>
      </c>
      <c r="Y293">
        <v>671687.41799999995</v>
      </c>
      <c r="Z293" s="254">
        <f t="shared" si="4"/>
        <v>9</v>
      </c>
    </row>
    <row r="294" spans="2:26" hidden="1" x14ac:dyDescent="0.25">
      <c r="B294" t="s">
        <v>284</v>
      </c>
      <c r="C294">
        <v>4007</v>
      </c>
      <c r="D294" t="s">
        <v>295</v>
      </c>
      <c r="E294" s="130">
        <v>45596</v>
      </c>
      <c r="F294" t="s">
        <v>286</v>
      </c>
      <c r="G294">
        <v>40.21</v>
      </c>
      <c r="H294">
        <v>13.25</v>
      </c>
      <c r="I294">
        <v>0.49</v>
      </c>
      <c r="J294">
        <v>0.11</v>
      </c>
      <c r="K294">
        <v>0.23</v>
      </c>
      <c r="L294">
        <v>0.48</v>
      </c>
      <c r="M294">
        <v>0.02</v>
      </c>
      <c r="N294">
        <v>0</v>
      </c>
      <c r="O294">
        <v>-0.3</v>
      </c>
      <c r="P294">
        <v>-0.16</v>
      </c>
      <c r="Q294">
        <v>0</v>
      </c>
      <c r="R294">
        <v>0</v>
      </c>
      <c r="S294">
        <v>0.48</v>
      </c>
      <c r="T294">
        <v>0.47</v>
      </c>
      <c r="U294">
        <v>0.23</v>
      </c>
      <c r="V294">
        <v>0</v>
      </c>
      <c r="W294">
        <v>0</v>
      </c>
      <c r="X294">
        <v>55.5</v>
      </c>
      <c r="Y294">
        <v>1408177.223</v>
      </c>
      <c r="Z294" s="254">
        <f t="shared" si="4"/>
        <v>10</v>
      </c>
    </row>
    <row r="295" spans="2:26" hidden="1" x14ac:dyDescent="0.25">
      <c r="B295" t="s">
        <v>284</v>
      </c>
      <c r="C295">
        <v>4007</v>
      </c>
      <c r="D295" t="s">
        <v>295</v>
      </c>
      <c r="E295" s="130">
        <v>45596</v>
      </c>
      <c r="F295" t="s">
        <v>287</v>
      </c>
      <c r="G295">
        <v>36.21</v>
      </c>
      <c r="H295">
        <v>13.25</v>
      </c>
      <c r="I295">
        <v>0.42</v>
      </c>
      <c r="J295">
        <v>0.08</v>
      </c>
      <c r="K295">
        <v>0.17</v>
      </c>
      <c r="L295">
        <v>0</v>
      </c>
      <c r="M295">
        <v>0.01</v>
      </c>
      <c r="N295">
        <v>0.01</v>
      </c>
      <c r="O295">
        <v>-0.28999999999999998</v>
      </c>
      <c r="P295">
        <v>-0.16</v>
      </c>
      <c r="Q295">
        <v>0</v>
      </c>
      <c r="R295">
        <v>0</v>
      </c>
      <c r="S295">
        <v>0.48</v>
      </c>
      <c r="T295">
        <v>0.47</v>
      </c>
      <c r="U295">
        <v>0.23</v>
      </c>
      <c r="V295">
        <v>0</v>
      </c>
      <c r="W295">
        <v>0</v>
      </c>
      <c r="X295">
        <v>50.89</v>
      </c>
      <c r="Y295">
        <v>788520.51500000001</v>
      </c>
      <c r="Z295" s="254">
        <f t="shared" si="4"/>
        <v>10</v>
      </c>
    </row>
    <row r="296" spans="2:26" hidden="1" x14ac:dyDescent="0.25">
      <c r="B296" t="s">
        <v>284</v>
      </c>
      <c r="C296">
        <v>4007</v>
      </c>
      <c r="D296" t="s">
        <v>295</v>
      </c>
      <c r="E296" s="130">
        <v>45596</v>
      </c>
      <c r="F296" t="s">
        <v>288</v>
      </c>
      <c r="G296">
        <v>45.22</v>
      </c>
      <c r="H296">
        <v>13.25</v>
      </c>
      <c r="I296">
        <v>0.57999999999999996</v>
      </c>
      <c r="J296">
        <v>0.14000000000000001</v>
      </c>
      <c r="K296">
        <v>0.3</v>
      </c>
      <c r="L296">
        <v>1.0900000000000001</v>
      </c>
      <c r="M296">
        <v>0.02</v>
      </c>
      <c r="N296">
        <v>0</v>
      </c>
      <c r="O296">
        <v>-0.33</v>
      </c>
      <c r="P296">
        <v>-0.16</v>
      </c>
      <c r="Q296">
        <v>0</v>
      </c>
      <c r="R296">
        <v>0</v>
      </c>
      <c r="S296">
        <v>0.48</v>
      </c>
      <c r="T296">
        <v>0.47</v>
      </c>
      <c r="U296">
        <v>0.23</v>
      </c>
      <c r="V296">
        <v>0</v>
      </c>
      <c r="W296">
        <v>0</v>
      </c>
      <c r="X296">
        <v>61.28</v>
      </c>
      <c r="Y296">
        <v>619656.70799999998</v>
      </c>
      <c r="Z296" s="254">
        <f t="shared" si="4"/>
        <v>10</v>
      </c>
    </row>
    <row r="297" spans="2:26" hidden="1" x14ac:dyDescent="0.25">
      <c r="B297" t="s">
        <v>284</v>
      </c>
      <c r="C297">
        <v>4007</v>
      </c>
      <c r="D297" t="s">
        <v>295</v>
      </c>
      <c r="E297" s="130">
        <v>45626</v>
      </c>
      <c r="F297" t="s">
        <v>286</v>
      </c>
      <c r="G297">
        <v>83.91</v>
      </c>
      <c r="H297">
        <v>11.14</v>
      </c>
      <c r="I297">
        <v>0.6</v>
      </c>
      <c r="J297">
        <v>0.11</v>
      </c>
      <c r="K297">
        <v>0.17</v>
      </c>
      <c r="L297">
        <v>0.39</v>
      </c>
      <c r="M297">
        <v>0.04</v>
      </c>
      <c r="N297">
        <v>0.01</v>
      </c>
      <c r="O297">
        <v>-0.59</v>
      </c>
      <c r="P297">
        <v>-0.3</v>
      </c>
      <c r="Q297">
        <v>0</v>
      </c>
      <c r="R297">
        <v>0</v>
      </c>
      <c r="S297">
        <v>0.48</v>
      </c>
      <c r="T297">
        <v>0.46</v>
      </c>
      <c r="U297">
        <v>0.23</v>
      </c>
      <c r="V297">
        <v>2.58</v>
      </c>
      <c r="W297">
        <v>0</v>
      </c>
      <c r="X297">
        <v>99.22</v>
      </c>
      <c r="Y297">
        <v>1595027.0290000001</v>
      </c>
      <c r="Z297" s="254">
        <f t="shared" si="4"/>
        <v>11</v>
      </c>
    </row>
    <row r="298" spans="2:26" hidden="1" x14ac:dyDescent="0.25">
      <c r="B298" t="s">
        <v>284</v>
      </c>
      <c r="C298">
        <v>4007</v>
      </c>
      <c r="D298" t="s">
        <v>295</v>
      </c>
      <c r="E298" s="130">
        <v>45626</v>
      </c>
      <c r="F298" t="s">
        <v>287</v>
      </c>
      <c r="G298">
        <v>79.33</v>
      </c>
      <c r="H298">
        <v>11.14</v>
      </c>
      <c r="I298">
        <v>0.59</v>
      </c>
      <c r="J298">
        <v>0.09</v>
      </c>
      <c r="K298">
        <v>0.18</v>
      </c>
      <c r="L298">
        <v>0</v>
      </c>
      <c r="M298">
        <v>0.03</v>
      </c>
      <c r="N298">
        <v>0.01</v>
      </c>
      <c r="O298">
        <v>-0.57999999999999996</v>
      </c>
      <c r="P298">
        <v>-0.3</v>
      </c>
      <c r="Q298">
        <v>0</v>
      </c>
      <c r="R298">
        <v>0</v>
      </c>
      <c r="S298">
        <v>0.48</v>
      </c>
      <c r="T298">
        <v>0.46</v>
      </c>
      <c r="U298">
        <v>0.23</v>
      </c>
      <c r="V298">
        <v>2.61</v>
      </c>
      <c r="W298">
        <v>0</v>
      </c>
      <c r="X298">
        <v>94.27</v>
      </c>
      <c r="Y298">
        <v>862994.10600000003</v>
      </c>
      <c r="Z298" s="254">
        <f t="shared" si="4"/>
        <v>11</v>
      </c>
    </row>
    <row r="299" spans="2:26" hidden="1" x14ac:dyDescent="0.25">
      <c r="B299" t="s">
        <v>284</v>
      </c>
      <c r="C299">
        <v>4007</v>
      </c>
      <c r="D299" t="s">
        <v>295</v>
      </c>
      <c r="E299" s="130">
        <v>45626</v>
      </c>
      <c r="F299" t="s">
        <v>288</v>
      </c>
      <c r="G299">
        <v>89.47</v>
      </c>
      <c r="H299">
        <v>11.14</v>
      </c>
      <c r="I299">
        <v>0.61</v>
      </c>
      <c r="J299">
        <v>0.13</v>
      </c>
      <c r="K299">
        <v>0.15</v>
      </c>
      <c r="L299">
        <v>0.86</v>
      </c>
      <c r="M299">
        <v>0.05</v>
      </c>
      <c r="N299">
        <v>0</v>
      </c>
      <c r="O299">
        <v>-0.59</v>
      </c>
      <c r="P299">
        <v>-0.3</v>
      </c>
      <c r="Q299">
        <v>-0.01</v>
      </c>
      <c r="R299">
        <v>0</v>
      </c>
      <c r="S299">
        <v>0.48</v>
      </c>
      <c r="T299">
        <v>0.46</v>
      </c>
      <c r="U299">
        <v>0.23</v>
      </c>
      <c r="V299">
        <v>2.5499999999999998</v>
      </c>
      <c r="W299">
        <v>0</v>
      </c>
      <c r="X299">
        <v>105.24</v>
      </c>
      <c r="Y299">
        <v>732032.92299999995</v>
      </c>
      <c r="Z299" s="254">
        <f t="shared" si="4"/>
        <v>11</v>
      </c>
    </row>
    <row r="300" spans="2:26" hidden="1" x14ac:dyDescent="0.25">
      <c r="B300" t="s">
        <v>284</v>
      </c>
      <c r="C300">
        <v>4008</v>
      </c>
      <c r="D300" t="s">
        <v>296</v>
      </c>
      <c r="E300" s="130">
        <v>45291</v>
      </c>
      <c r="F300" t="s">
        <v>286</v>
      </c>
      <c r="G300">
        <v>63.58</v>
      </c>
      <c r="H300">
        <v>8.9</v>
      </c>
      <c r="I300">
        <v>0.67</v>
      </c>
      <c r="J300">
        <v>0.08</v>
      </c>
      <c r="K300">
        <v>0.21</v>
      </c>
      <c r="L300">
        <v>0.46</v>
      </c>
      <c r="M300">
        <v>0.04</v>
      </c>
      <c r="N300">
        <v>0.01</v>
      </c>
      <c r="O300">
        <v>-0.26</v>
      </c>
      <c r="P300">
        <v>-0.44</v>
      </c>
      <c r="Q300">
        <v>-0.01</v>
      </c>
      <c r="R300">
        <v>0</v>
      </c>
      <c r="S300">
        <v>0.48</v>
      </c>
      <c r="T300">
        <v>0.46</v>
      </c>
      <c r="U300">
        <v>0.23</v>
      </c>
      <c r="V300">
        <v>2.52</v>
      </c>
      <c r="W300">
        <v>0</v>
      </c>
      <c r="X300">
        <v>76.930000000000007</v>
      </c>
      <c r="Y300">
        <v>2132291.8670000001</v>
      </c>
      <c r="Z300" s="254">
        <f t="shared" si="4"/>
        <v>12</v>
      </c>
    </row>
    <row r="301" spans="2:26" hidden="1" x14ac:dyDescent="0.25">
      <c r="B301" t="s">
        <v>284</v>
      </c>
      <c r="C301">
        <v>4008</v>
      </c>
      <c r="D301" t="s">
        <v>296</v>
      </c>
      <c r="E301" s="130">
        <v>45291</v>
      </c>
      <c r="F301" t="s">
        <v>287</v>
      </c>
      <c r="G301">
        <v>57.04</v>
      </c>
      <c r="H301">
        <v>8.9</v>
      </c>
      <c r="I301">
        <v>0.56999999999999995</v>
      </c>
      <c r="J301">
        <v>7.0000000000000007E-2</v>
      </c>
      <c r="K301">
        <v>0.2</v>
      </c>
      <c r="L301">
        <v>0</v>
      </c>
      <c r="M301">
        <v>0.03</v>
      </c>
      <c r="N301">
        <v>0.02</v>
      </c>
      <c r="O301">
        <v>-0.24</v>
      </c>
      <c r="P301">
        <v>-0.44</v>
      </c>
      <c r="Q301">
        <v>-0.01</v>
      </c>
      <c r="R301">
        <v>0</v>
      </c>
      <c r="S301">
        <v>0.48</v>
      </c>
      <c r="T301">
        <v>0.46</v>
      </c>
      <c r="U301">
        <v>0.23</v>
      </c>
      <c r="V301">
        <v>2.61</v>
      </c>
      <c r="W301">
        <v>0</v>
      </c>
      <c r="X301">
        <v>69.900000000000006</v>
      </c>
      <c r="Y301">
        <v>1041123.264</v>
      </c>
      <c r="Z301" s="254">
        <f t="shared" si="4"/>
        <v>12</v>
      </c>
    </row>
    <row r="302" spans="2:26" hidden="1" x14ac:dyDescent="0.25">
      <c r="B302" t="s">
        <v>284</v>
      </c>
      <c r="C302">
        <v>4008</v>
      </c>
      <c r="D302" t="s">
        <v>296</v>
      </c>
      <c r="E302" s="130">
        <v>45291</v>
      </c>
      <c r="F302" t="s">
        <v>288</v>
      </c>
      <c r="G302">
        <v>70.86</v>
      </c>
      <c r="H302">
        <v>8.9</v>
      </c>
      <c r="I302">
        <v>0.79</v>
      </c>
      <c r="J302">
        <v>0.1</v>
      </c>
      <c r="K302">
        <v>0.22</v>
      </c>
      <c r="L302">
        <v>0.98</v>
      </c>
      <c r="M302">
        <v>0.06</v>
      </c>
      <c r="N302">
        <v>0</v>
      </c>
      <c r="O302">
        <v>-0.28999999999999998</v>
      </c>
      <c r="P302">
        <v>-0.44</v>
      </c>
      <c r="Q302">
        <v>-0.02</v>
      </c>
      <c r="R302">
        <v>0</v>
      </c>
      <c r="S302">
        <v>0.48</v>
      </c>
      <c r="T302">
        <v>0.46</v>
      </c>
      <c r="U302">
        <v>0.23</v>
      </c>
      <c r="V302">
        <v>2.42</v>
      </c>
      <c r="W302">
        <v>0</v>
      </c>
      <c r="X302">
        <v>84.75</v>
      </c>
      <c r="Y302">
        <v>1091168.6029999999</v>
      </c>
      <c r="Z302" s="254">
        <f t="shared" si="4"/>
        <v>12</v>
      </c>
    </row>
    <row r="303" spans="2:26" hidden="1" x14ac:dyDescent="0.25">
      <c r="B303" t="s">
        <v>284</v>
      </c>
      <c r="C303">
        <v>4008</v>
      </c>
      <c r="D303" t="s">
        <v>296</v>
      </c>
      <c r="E303" s="130">
        <v>45322</v>
      </c>
      <c r="F303" t="s">
        <v>286</v>
      </c>
      <c r="G303">
        <v>31.8</v>
      </c>
      <c r="H303">
        <v>10.1</v>
      </c>
      <c r="I303">
        <v>0.5</v>
      </c>
      <c r="J303">
        <v>0.05</v>
      </c>
      <c r="K303">
        <v>0.13</v>
      </c>
      <c r="L303">
        <v>0.54</v>
      </c>
      <c r="M303">
        <v>0.03</v>
      </c>
      <c r="N303">
        <v>0</v>
      </c>
      <c r="O303">
        <v>-0.16</v>
      </c>
      <c r="P303">
        <v>-0.45</v>
      </c>
      <c r="Q303">
        <v>0</v>
      </c>
      <c r="R303">
        <v>0</v>
      </c>
      <c r="S303">
        <v>0.48</v>
      </c>
      <c r="T303">
        <v>0.49</v>
      </c>
      <c r="U303">
        <v>0.23</v>
      </c>
      <c r="V303">
        <v>2.64</v>
      </c>
      <c r="W303">
        <v>0</v>
      </c>
      <c r="X303">
        <v>46.37</v>
      </c>
      <c r="Y303">
        <v>1879831.656</v>
      </c>
      <c r="Z303" s="254">
        <f t="shared" si="4"/>
        <v>1</v>
      </c>
    </row>
    <row r="304" spans="2:26" hidden="1" x14ac:dyDescent="0.25">
      <c r="B304" t="s">
        <v>284</v>
      </c>
      <c r="C304">
        <v>4008</v>
      </c>
      <c r="D304" t="s">
        <v>296</v>
      </c>
      <c r="E304" s="130">
        <v>45322</v>
      </c>
      <c r="F304" t="s">
        <v>287</v>
      </c>
      <c r="G304">
        <v>30.21</v>
      </c>
      <c r="H304">
        <v>10.1</v>
      </c>
      <c r="I304">
        <v>0.55000000000000004</v>
      </c>
      <c r="J304">
        <v>0.05</v>
      </c>
      <c r="K304">
        <v>0.12</v>
      </c>
      <c r="L304">
        <v>0</v>
      </c>
      <c r="M304">
        <v>0.02</v>
      </c>
      <c r="N304">
        <v>0</v>
      </c>
      <c r="O304">
        <v>-0.14000000000000001</v>
      </c>
      <c r="P304">
        <v>-0.45</v>
      </c>
      <c r="Q304">
        <v>0</v>
      </c>
      <c r="R304">
        <v>0</v>
      </c>
      <c r="S304">
        <v>0.48</v>
      </c>
      <c r="T304">
        <v>0.49</v>
      </c>
      <c r="U304">
        <v>0.23</v>
      </c>
      <c r="V304">
        <v>2.68</v>
      </c>
      <c r="W304">
        <v>0</v>
      </c>
      <c r="X304">
        <v>44.33</v>
      </c>
      <c r="Y304">
        <v>906247.51</v>
      </c>
      <c r="Z304" s="254">
        <f t="shared" si="4"/>
        <v>1</v>
      </c>
    </row>
    <row r="305" spans="2:26" hidden="1" x14ac:dyDescent="0.25">
      <c r="B305" t="s">
        <v>284</v>
      </c>
      <c r="C305">
        <v>4008</v>
      </c>
      <c r="D305" t="s">
        <v>296</v>
      </c>
      <c r="E305" s="130">
        <v>45322</v>
      </c>
      <c r="F305" t="s">
        <v>288</v>
      </c>
      <c r="G305">
        <v>33.51</v>
      </c>
      <c r="H305">
        <v>10.1</v>
      </c>
      <c r="I305">
        <v>0.45</v>
      </c>
      <c r="J305">
        <v>0.04</v>
      </c>
      <c r="K305">
        <v>0.14000000000000001</v>
      </c>
      <c r="L305">
        <v>1.1100000000000001</v>
      </c>
      <c r="M305">
        <v>0.03</v>
      </c>
      <c r="N305">
        <v>0</v>
      </c>
      <c r="O305">
        <v>-0.19</v>
      </c>
      <c r="P305">
        <v>-0.45</v>
      </c>
      <c r="Q305">
        <v>0</v>
      </c>
      <c r="R305">
        <v>0</v>
      </c>
      <c r="S305">
        <v>0.48</v>
      </c>
      <c r="T305">
        <v>0.49</v>
      </c>
      <c r="U305">
        <v>0.23</v>
      </c>
      <c r="V305">
        <v>2.59</v>
      </c>
      <c r="W305">
        <v>0</v>
      </c>
      <c r="X305">
        <v>48.55</v>
      </c>
      <c r="Y305">
        <v>973584.14599999995</v>
      </c>
      <c r="Z305" s="254">
        <f t="shared" si="4"/>
        <v>1</v>
      </c>
    </row>
    <row r="306" spans="2:26" hidden="1" x14ac:dyDescent="0.25">
      <c r="B306" t="s">
        <v>284</v>
      </c>
      <c r="C306">
        <v>4008</v>
      </c>
      <c r="D306" t="s">
        <v>296</v>
      </c>
      <c r="E306" s="130">
        <v>45351</v>
      </c>
      <c r="F306" t="s">
        <v>286</v>
      </c>
      <c r="G306">
        <v>23.19</v>
      </c>
      <c r="H306">
        <v>10.26</v>
      </c>
      <c r="I306">
        <v>0.41</v>
      </c>
      <c r="J306">
        <v>0.05</v>
      </c>
      <c r="K306">
        <v>0.1</v>
      </c>
      <c r="L306">
        <v>0.55000000000000004</v>
      </c>
      <c r="M306">
        <v>0.02</v>
      </c>
      <c r="N306">
        <v>-0.01</v>
      </c>
      <c r="O306">
        <v>-0.06</v>
      </c>
      <c r="P306">
        <v>-0.16</v>
      </c>
      <c r="Q306">
        <v>0</v>
      </c>
      <c r="R306">
        <v>0</v>
      </c>
      <c r="S306">
        <v>0.48</v>
      </c>
      <c r="T306">
        <v>0.46</v>
      </c>
      <c r="U306">
        <v>0.23</v>
      </c>
      <c r="V306">
        <v>0</v>
      </c>
      <c r="W306">
        <v>0</v>
      </c>
      <c r="X306">
        <v>35.53</v>
      </c>
      <c r="Y306">
        <v>1870880.692</v>
      </c>
      <c r="Z306" s="254">
        <f t="shared" si="4"/>
        <v>2</v>
      </c>
    </row>
    <row r="307" spans="2:26" hidden="1" x14ac:dyDescent="0.25">
      <c r="B307" t="s">
        <v>284</v>
      </c>
      <c r="C307">
        <v>4008</v>
      </c>
      <c r="D307" t="s">
        <v>296</v>
      </c>
      <c r="E307" s="130">
        <v>45351</v>
      </c>
      <c r="F307" t="s">
        <v>287</v>
      </c>
      <c r="G307">
        <v>22.23</v>
      </c>
      <c r="H307">
        <v>10.26</v>
      </c>
      <c r="I307">
        <v>0.34</v>
      </c>
      <c r="J307">
        <v>0.04</v>
      </c>
      <c r="K307">
        <v>0.1</v>
      </c>
      <c r="L307">
        <v>0</v>
      </c>
      <c r="M307">
        <v>0.02</v>
      </c>
      <c r="N307">
        <v>0</v>
      </c>
      <c r="O307">
        <v>-0.04</v>
      </c>
      <c r="P307">
        <v>-0.16</v>
      </c>
      <c r="Q307">
        <v>0</v>
      </c>
      <c r="R307">
        <v>0</v>
      </c>
      <c r="S307">
        <v>0.48</v>
      </c>
      <c r="T307">
        <v>0.46</v>
      </c>
      <c r="U307">
        <v>0.23</v>
      </c>
      <c r="V307">
        <v>0</v>
      </c>
      <c r="W307">
        <v>0</v>
      </c>
      <c r="X307">
        <v>33.950000000000003</v>
      </c>
      <c r="Y307">
        <v>953665.38300000003</v>
      </c>
      <c r="Z307" s="254">
        <f t="shared" si="4"/>
        <v>2</v>
      </c>
    </row>
    <row r="308" spans="2:26" hidden="1" x14ac:dyDescent="0.25">
      <c r="B308" t="s">
        <v>284</v>
      </c>
      <c r="C308">
        <v>4008</v>
      </c>
      <c r="D308" t="s">
        <v>296</v>
      </c>
      <c r="E308" s="130">
        <v>45351</v>
      </c>
      <c r="F308" t="s">
        <v>288</v>
      </c>
      <c r="G308">
        <v>24.36</v>
      </c>
      <c r="H308">
        <v>10.26</v>
      </c>
      <c r="I308">
        <v>0.5</v>
      </c>
      <c r="J308">
        <v>0.05</v>
      </c>
      <c r="K308">
        <v>0.1</v>
      </c>
      <c r="L308">
        <v>1.21</v>
      </c>
      <c r="M308">
        <v>0.02</v>
      </c>
      <c r="N308">
        <v>-0.01</v>
      </c>
      <c r="O308">
        <v>-7.0000000000000007E-2</v>
      </c>
      <c r="P308">
        <v>-0.16</v>
      </c>
      <c r="Q308">
        <v>0</v>
      </c>
      <c r="R308">
        <v>0</v>
      </c>
      <c r="S308">
        <v>0.48</v>
      </c>
      <c r="T308">
        <v>0.46</v>
      </c>
      <c r="U308">
        <v>0.23</v>
      </c>
      <c r="V308">
        <v>0</v>
      </c>
      <c r="W308">
        <v>0</v>
      </c>
      <c r="X308">
        <v>37.43</v>
      </c>
      <c r="Y308">
        <v>917215.30900000001</v>
      </c>
      <c r="Z308" s="254">
        <f t="shared" si="4"/>
        <v>2</v>
      </c>
    </row>
    <row r="309" spans="2:26" hidden="1" x14ac:dyDescent="0.25">
      <c r="B309" t="s">
        <v>284</v>
      </c>
      <c r="C309">
        <v>4008</v>
      </c>
      <c r="D309" t="s">
        <v>296</v>
      </c>
      <c r="E309" s="130">
        <v>45382</v>
      </c>
      <c r="F309" t="s">
        <v>286</v>
      </c>
      <c r="G309">
        <v>24.66</v>
      </c>
      <c r="H309">
        <v>11.45</v>
      </c>
      <c r="I309">
        <v>0.54</v>
      </c>
      <c r="J309">
        <v>0.06</v>
      </c>
      <c r="K309">
        <v>0.1</v>
      </c>
      <c r="L309">
        <v>0.55000000000000004</v>
      </c>
      <c r="M309">
        <v>0.02</v>
      </c>
      <c r="N309">
        <v>0</v>
      </c>
      <c r="O309">
        <v>-0.02</v>
      </c>
      <c r="P309">
        <v>-0.14000000000000001</v>
      </c>
      <c r="Q309">
        <v>0</v>
      </c>
      <c r="R309">
        <v>0</v>
      </c>
      <c r="S309">
        <v>0.48</v>
      </c>
      <c r="T309">
        <v>0.47</v>
      </c>
      <c r="U309">
        <v>0.23</v>
      </c>
      <c r="V309">
        <v>0</v>
      </c>
      <c r="W309">
        <v>0</v>
      </c>
      <c r="X309">
        <v>38.42</v>
      </c>
      <c r="Y309">
        <v>1663491.649</v>
      </c>
      <c r="Z309" s="254">
        <f t="shared" si="4"/>
        <v>3</v>
      </c>
    </row>
    <row r="310" spans="2:26" hidden="1" x14ac:dyDescent="0.25">
      <c r="B310" t="s">
        <v>284</v>
      </c>
      <c r="C310">
        <v>4008</v>
      </c>
      <c r="D310" t="s">
        <v>296</v>
      </c>
      <c r="E310" s="130">
        <v>45382</v>
      </c>
      <c r="F310" t="s">
        <v>287</v>
      </c>
      <c r="G310">
        <v>23.7</v>
      </c>
      <c r="H310">
        <v>11.45</v>
      </c>
      <c r="I310">
        <v>0.59</v>
      </c>
      <c r="J310">
        <v>0.06</v>
      </c>
      <c r="K310">
        <v>7.0000000000000007E-2</v>
      </c>
      <c r="L310">
        <v>0</v>
      </c>
      <c r="M310">
        <v>0.03</v>
      </c>
      <c r="N310">
        <v>0</v>
      </c>
      <c r="O310">
        <v>0</v>
      </c>
      <c r="P310">
        <v>-0.14000000000000001</v>
      </c>
      <c r="Q310">
        <v>0</v>
      </c>
      <c r="R310">
        <v>0</v>
      </c>
      <c r="S310">
        <v>0.48</v>
      </c>
      <c r="T310">
        <v>0.47</v>
      </c>
      <c r="U310">
        <v>0.23</v>
      </c>
      <c r="V310">
        <v>0</v>
      </c>
      <c r="W310">
        <v>0</v>
      </c>
      <c r="X310">
        <v>36.94</v>
      </c>
      <c r="Y310">
        <v>782380.23</v>
      </c>
      <c r="Z310" s="254">
        <f t="shared" si="4"/>
        <v>3</v>
      </c>
    </row>
    <row r="311" spans="2:26" hidden="1" x14ac:dyDescent="0.25">
      <c r="B311" t="s">
        <v>284</v>
      </c>
      <c r="C311">
        <v>4008</v>
      </c>
      <c r="D311" t="s">
        <v>296</v>
      </c>
      <c r="E311" s="130">
        <v>45382</v>
      </c>
      <c r="F311" t="s">
        <v>288</v>
      </c>
      <c r="G311">
        <v>25.67</v>
      </c>
      <c r="H311">
        <v>11.45</v>
      </c>
      <c r="I311">
        <v>0.5</v>
      </c>
      <c r="J311">
        <v>0.06</v>
      </c>
      <c r="K311">
        <v>0.13</v>
      </c>
      <c r="L311">
        <v>1.1299999999999999</v>
      </c>
      <c r="M311">
        <v>0.02</v>
      </c>
      <c r="N311">
        <v>0</v>
      </c>
      <c r="O311">
        <v>-0.03</v>
      </c>
      <c r="P311">
        <v>-0.14000000000000001</v>
      </c>
      <c r="Q311">
        <v>0</v>
      </c>
      <c r="R311">
        <v>0</v>
      </c>
      <c r="S311">
        <v>0.48</v>
      </c>
      <c r="T311">
        <v>0.47</v>
      </c>
      <c r="U311">
        <v>0.23</v>
      </c>
      <c r="V311">
        <v>0</v>
      </c>
      <c r="W311">
        <v>0</v>
      </c>
      <c r="X311">
        <v>39.97</v>
      </c>
      <c r="Y311">
        <v>881111.41899999999</v>
      </c>
      <c r="Z311" s="254">
        <f t="shared" si="4"/>
        <v>3</v>
      </c>
    </row>
    <row r="312" spans="2:26" hidden="1" x14ac:dyDescent="0.25">
      <c r="B312" t="s">
        <v>284</v>
      </c>
      <c r="C312">
        <v>4008</v>
      </c>
      <c r="D312" t="s">
        <v>296</v>
      </c>
      <c r="E312" s="130">
        <v>45412</v>
      </c>
      <c r="F312" t="s">
        <v>286</v>
      </c>
      <c r="G312">
        <v>26.48</v>
      </c>
      <c r="H312">
        <v>10.84</v>
      </c>
      <c r="I312">
        <v>0.5</v>
      </c>
      <c r="J312">
        <v>0.06</v>
      </c>
      <c r="K312">
        <v>7.0000000000000007E-2</v>
      </c>
      <c r="L312">
        <v>0.56000000000000005</v>
      </c>
      <c r="M312">
        <v>0.02</v>
      </c>
      <c r="N312">
        <v>0</v>
      </c>
      <c r="O312">
        <v>-0.06</v>
      </c>
      <c r="P312">
        <v>-0.1</v>
      </c>
      <c r="Q312">
        <v>-0.01</v>
      </c>
      <c r="R312">
        <v>0</v>
      </c>
      <c r="S312">
        <v>0.48</v>
      </c>
      <c r="T312">
        <v>0.46</v>
      </c>
      <c r="U312">
        <v>0.23</v>
      </c>
      <c r="V312">
        <v>0</v>
      </c>
      <c r="W312">
        <v>0</v>
      </c>
      <c r="X312">
        <v>39.53</v>
      </c>
      <c r="Y312">
        <v>1776460.69</v>
      </c>
      <c r="Z312" s="254">
        <f t="shared" si="4"/>
        <v>4</v>
      </c>
    </row>
    <row r="313" spans="2:26" hidden="1" x14ac:dyDescent="0.25">
      <c r="B313" t="s">
        <v>284</v>
      </c>
      <c r="C313">
        <v>4008</v>
      </c>
      <c r="D313" t="s">
        <v>296</v>
      </c>
      <c r="E313" s="130">
        <v>45412</v>
      </c>
      <c r="F313" t="s">
        <v>287</v>
      </c>
      <c r="G313">
        <v>25.25</v>
      </c>
      <c r="H313">
        <v>10.84</v>
      </c>
      <c r="I313">
        <v>0.61</v>
      </c>
      <c r="J313">
        <v>0.06</v>
      </c>
      <c r="K313">
        <v>0.06</v>
      </c>
      <c r="L313">
        <v>0</v>
      </c>
      <c r="M313">
        <v>0.03</v>
      </c>
      <c r="N313">
        <v>0</v>
      </c>
      <c r="O313">
        <v>-0.04</v>
      </c>
      <c r="P313">
        <v>-0.1</v>
      </c>
      <c r="Q313">
        <v>-0.01</v>
      </c>
      <c r="R313">
        <v>0</v>
      </c>
      <c r="S313">
        <v>0.48</v>
      </c>
      <c r="T313">
        <v>0.46</v>
      </c>
      <c r="U313">
        <v>0.23</v>
      </c>
      <c r="V313">
        <v>0</v>
      </c>
      <c r="W313">
        <v>0</v>
      </c>
      <c r="X313">
        <v>37.86</v>
      </c>
      <c r="Y313">
        <v>840391.76699999999</v>
      </c>
      <c r="Z313" s="254">
        <f t="shared" si="4"/>
        <v>4</v>
      </c>
    </row>
    <row r="314" spans="2:26" hidden="1" x14ac:dyDescent="0.25">
      <c r="B314" t="s">
        <v>284</v>
      </c>
      <c r="C314">
        <v>4008</v>
      </c>
      <c r="D314" t="s">
        <v>296</v>
      </c>
      <c r="E314" s="130">
        <v>45412</v>
      </c>
      <c r="F314" t="s">
        <v>288</v>
      </c>
      <c r="G314">
        <v>27.85</v>
      </c>
      <c r="H314">
        <v>10.84</v>
      </c>
      <c r="I314">
        <v>0.38</v>
      </c>
      <c r="J314">
        <v>0.05</v>
      </c>
      <c r="K314">
        <v>0.08</v>
      </c>
      <c r="L314">
        <v>1.19</v>
      </c>
      <c r="M314">
        <v>0.01</v>
      </c>
      <c r="N314">
        <v>0</v>
      </c>
      <c r="O314">
        <v>-0.08</v>
      </c>
      <c r="P314">
        <v>-0.1</v>
      </c>
      <c r="Q314">
        <v>0</v>
      </c>
      <c r="R314">
        <v>0</v>
      </c>
      <c r="S314">
        <v>0.48</v>
      </c>
      <c r="T314">
        <v>0.46</v>
      </c>
      <c r="U314">
        <v>0.23</v>
      </c>
      <c r="V314">
        <v>0</v>
      </c>
      <c r="W314">
        <v>0</v>
      </c>
      <c r="X314">
        <v>41.39</v>
      </c>
      <c r="Y314">
        <v>936068.92299999995</v>
      </c>
      <c r="Z314" s="254">
        <f t="shared" si="4"/>
        <v>4</v>
      </c>
    </row>
    <row r="315" spans="2:26" hidden="1" x14ac:dyDescent="0.25">
      <c r="B315" t="s">
        <v>284</v>
      </c>
      <c r="C315">
        <v>4008</v>
      </c>
      <c r="D315" t="s">
        <v>296</v>
      </c>
      <c r="E315" s="130">
        <v>45443</v>
      </c>
      <c r="F315" t="s">
        <v>286</v>
      </c>
      <c r="G315">
        <v>31.23</v>
      </c>
      <c r="H315">
        <v>14.78</v>
      </c>
      <c r="I315">
        <v>0.67</v>
      </c>
      <c r="J315">
        <v>0.1</v>
      </c>
      <c r="K315">
        <v>0.09</v>
      </c>
      <c r="L315">
        <v>0.53</v>
      </c>
      <c r="M315">
        <v>0.11</v>
      </c>
      <c r="N315">
        <v>0</v>
      </c>
      <c r="O315">
        <v>-0.14000000000000001</v>
      </c>
      <c r="P315">
        <v>-0.08</v>
      </c>
      <c r="Q315">
        <v>-0.01</v>
      </c>
      <c r="R315">
        <v>0</v>
      </c>
      <c r="S315">
        <v>0.48</v>
      </c>
      <c r="T315">
        <v>0.47</v>
      </c>
      <c r="U315">
        <v>0.23</v>
      </c>
      <c r="V315">
        <v>0</v>
      </c>
      <c r="W315">
        <v>0</v>
      </c>
      <c r="X315">
        <v>48.46</v>
      </c>
      <c r="Y315">
        <v>2078680.3160000001</v>
      </c>
      <c r="Z315" s="254">
        <f t="shared" si="4"/>
        <v>5</v>
      </c>
    </row>
    <row r="316" spans="2:26" hidden="1" x14ac:dyDescent="0.25">
      <c r="B316" t="s">
        <v>284</v>
      </c>
      <c r="C316">
        <v>4008</v>
      </c>
      <c r="D316" t="s">
        <v>296</v>
      </c>
      <c r="E316" s="130">
        <v>45443</v>
      </c>
      <c r="F316" t="s">
        <v>287</v>
      </c>
      <c r="G316">
        <v>25.49</v>
      </c>
      <c r="H316">
        <v>14.78</v>
      </c>
      <c r="I316">
        <v>0.54</v>
      </c>
      <c r="J316">
        <v>0.08</v>
      </c>
      <c r="K316">
        <v>0.09</v>
      </c>
      <c r="L316">
        <v>0</v>
      </c>
      <c r="M316">
        <v>0.01</v>
      </c>
      <c r="N316">
        <v>-0.01</v>
      </c>
      <c r="O316">
        <v>-0.11</v>
      </c>
      <c r="P316">
        <v>-0.08</v>
      </c>
      <c r="Q316">
        <v>-0.01</v>
      </c>
      <c r="R316">
        <v>0</v>
      </c>
      <c r="S316">
        <v>0.48</v>
      </c>
      <c r="T316">
        <v>0.47</v>
      </c>
      <c r="U316">
        <v>0.23</v>
      </c>
      <c r="V316">
        <v>0</v>
      </c>
      <c r="W316">
        <v>0</v>
      </c>
      <c r="X316">
        <v>41.96</v>
      </c>
      <c r="Y316">
        <v>1006975.78</v>
      </c>
      <c r="Z316" s="254">
        <f t="shared" si="4"/>
        <v>5</v>
      </c>
    </row>
    <row r="317" spans="2:26" hidden="1" x14ac:dyDescent="0.25">
      <c r="B317" t="s">
        <v>284</v>
      </c>
      <c r="C317">
        <v>4008</v>
      </c>
      <c r="D317" t="s">
        <v>296</v>
      </c>
      <c r="E317" s="130">
        <v>45443</v>
      </c>
      <c r="F317" t="s">
        <v>288</v>
      </c>
      <c r="G317">
        <v>38.39</v>
      </c>
      <c r="H317">
        <v>14.78</v>
      </c>
      <c r="I317">
        <v>0.84</v>
      </c>
      <c r="J317">
        <v>0.13</v>
      </c>
      <c r="K317">
        <v>0.1</v>
      </c>
      <c r="L317">
        <v>1.19</v>
      </c>
      <c r="M317">
        <v>0.24</v>
      </c>
      <c r="N317">
        <v>0</v>
      </c>
      <c r="O317">
        <v>-0.17</v>
      </c>
      <c r="P317">
        <v>-0.08</v>
      </c>
      <c r="Q317">
        <v>0</v>
      </c>
      <c r="R317">
        <v>0</v>
      </c>
      <c r="S317">
        <v>0.48</v>
      </c>
      <c r="T317">
        <v>0.47</v>
      </c>
      <c r="U317">
        <v>0.23</v>
      </c>
      <c r="V317">
        <v>0</v>
      </c>
      <c r="W317">
        <v>0</v>
      </c>
      <c r="X317">
        <v>56.59</v>
      </c>
      <c r="Y317">
        <v>1071704.5360000001</v>
      </c>
      <c r="Z317" s="254">
        <f t="shared" si="4"/>
        <v>5</v>
      </c>
    </row>
    <row r="318" spans="2:26" hidden="1" x14ac:dyDescent="0.25">
      <c r="B318" t="s">
        <v>284</v>
      </c>
      <c r="C318">
        <v>4008</v>
      </c>
      <c r="D318" t="s">
        <v>296</v>
      </c>
      <c r="E318" s="130">
        <v>45473</v>
      </c>
      <c r="F318" t="s">
        <v>286</v>
      </c>
      <c r="G318">
        <v>43.31</v>
      </c>
      <c r="H318">
        <v>11.88</v>
      </c>
      <c r="I318">
        <v>2.0499999999999998</v>
      </c>
      <c r="J318">
        <v>0.1</v>
      </c>
      <c r="K318">
        <v>0.2</v>
      </c>
      <c r="L318">
        <v>0.46</v>
      </c>
      <c r="M318">
        <v>0.36</v>
      </c>
      <c r="N318">
        <v>-0.01</v>
      </c>
      <c r="O318">
        <v>-0.33</v>
      </c>
      <c r="P318">
        <v>-0.1</v>
      </c>
      <c r="Q318">
        <v>0</v>
      </c>
      <c r="R318">
        <v>0</v>
      </c>
      <c r="S318">
        <v>0.48</v>
      </c>
      <c r="T318">
        <v>0.46</v>
      </c>
      <c r="U318">
        <v>0.23</v>
      </c>
      <c r="V318">
        <v>0</v>
      </c>
      <c r="W318">
        <v>0</v>
      </c>
      <c r="X318">
        <v>59.12</v>
      </c>
      <c r="Y318">
        <v>2511614.8689999999</v>
      </c>
      <c r="Z318" s="254">
        <f t="shared" si="4"/>
        <v>6</v>
      </c>
    </row>
    <row r="319" spans="2:26" hidden="1" x14ac:dyDescent="0.25">
      <c r="B319" t="s">
        <v>284</v>
      </c>
      <c r="C319">
        <v>4008</v>
      </c>
      <c r="D319" t="s">
        <v>296</v>
      </c>
      <c r="E319" s="130">
        <v>45473</v>
      </c>
      <c r="F319" t="s">
        <v>287</v>
      </c>
      <c r="G319">
        <v>35.619999999999997</v>
      </c>
      <c r="H319">
        <v>11.88</v>
      </c>
      <c r="I319">
        <v>1.79</v>
      </c>
      <c r="J319">
        <v>0.09</v>
      </c>
      <c r="K319">
        <v>0.16</v>
      </c>
      <c r="L319">
        <v>0</v>
      </c>
      <c r="M319">
        <v>0.18</v>
      </c>
      <c r="N319">
        <v>-0.01</v>
      </c>
      <c r="O319">
        <v>-0.23</v>
      </c>
      <c r="P319">
        <v>-0.1</v>
      </c>
      <c r="Q319">
        <v>-0.01</v>
      </c>
      <c r="R319">
        <v>0</v>
      </c>
      <c r="S319">
        <v>0.48</v>
      </c>
      <c r="T319">
        <v>0.46</v>
      </c>
      <c r="U319">
        <v>0.23</v>
      </c>
      <c r="V319">
        <v>0</v>
      </c>
      <c r="W319">
        <v>0</v>
      </c>
      <c r="X319">
        <v>50.54</v>
      </c>
      <c r="Y319">
        <v>1182779.875</v>
      </c>
      <c r="Z319" s="254">
        <f t="shared" si="4"/>
        <v>6</v>
      </c>
    </row>
    <row r="320" spans="2:26" hidden="1" x14ac:dyDescent="0.25">
      <c r="B320" t="s">
        <v>284</v>
      </c>
      <c r="C320">
        <v>4008</v>
      </c>
      <c r="D320" t="s">
        <v>296</v>
      </c>
      <c r="E320" s="130">
        <v>45473</v>
      </c>
      <c r="F320" t="s">
        <v>288</v>
      </c>
      <c r="G320">
        <v>51.88</v>
      </c>
      <c r="H320">
        <v>11.88</v>
      </c>
      <c r="I320">
        <v>2.35</v>
      </c>
      <c r="J320">
        <v>0.11</v>
      </c>
      <c r="K320">
        <v>0.25</v>
      </c>
      <c r="L320">
        <v>0.98</v>
      </c>
      <c r="M320">
        <v>0.56000000000000005</v>
      </c>
      <c r="N320">
        <v>-0.02</v>
      </c>
      <c r="O320">
        <v>-0.43</v>
      </c>
      <c r="P320">
        <v>-0.1</v>
      </c>
      <c r="Q320">
        <v>0.02</v>
      </c>
      <c r="R320">
        <v>0</v>
      </c>
      <c r="S320">
        <v>0.48</v>
      </c>
      <c r="T320">
        <v>0.46</v>
      </c>
      <c r="U320">
        <v>0.23</v>
      </c>
      <c r="V320">
        <v>0</v>
      </c>
      <c r="W320">
        <v>0</v>
      </c>
      <c r="X320">
        <v>68.66</v>
      </c>
      <c r="Y320">
        <v>1328834.9939999999</v>
      </c>
      <c r="Z320" s="254">
        <f t="shared" si="4"/>
        <v>6</v>
      </c>
    </row>
    <row r="321" spans="2:26" hidden="1" x14ac:dyDescent="0.25">
      <c r="B321" t="s">
        <v>284</v>
      </c>
      <c r="C321">
        <v>4008</v>
      </c>
      <c r="D321" t="s">
        <v>296</v>
      </c>
      <c r="E321" s="130">
        <v>45504</v>
      </c>
      <c r="F321" t="s">
        <v>286</v>
      </c>
      <c r="G321">
        <v>39.03</v>
      </c>
      <c r="H321">
        <v>13.58</v>
      </c>
      <c r="I321">
        <v>0.81</v>
      </c>
      <c r="J321">
        <v>0.1</v>
      </c>
      <c r="K321">
        <v>0.21</v>
      </c>
      <c r="L321">
        <v>0.53</v>
      </c>
      <c r="M321">
        <v>0.32</v>
      </c>
      <c r="N321">
        <v>0.01</v>
      </c>
      <c r="O321">
        <v>-0.11</v>
      </c>
      <c r="P321">
        <v>-0.1</v>
      </c>
      <c r="Q321">
        <v>0</v>
      </c>
      <c r="R321">
        <v>0</v>
      </c>
      <c r="S321">
        <v>0.48</v>
      </c>
      <c r="T321">
        <v>0.46</v>
      </c>
      <c r="U321">
        <v>0.23</v>
      </c>
      <c r="V321">
        <v>0</v>
      </c>
      <c r="W321">
        <v>0</v>
      </c>
      <c r="X321">
        <v>55.56</v>
      </c>
      <c r="Y321">
        <v>2192825.8319999999</v>
      </c>
      <c r="Z321" s="254">
        <f t="shared" si="4"/>
        <v>7</v>
      </c>
    </row>
    <row r="322" spans="2:26" hidden="1" x14ac:dyDescent="0.25">
      <c r="B322" t="s">
        <v>284</v>
      </c>
      <c r="C322">
        <v>4008</v>
      </c>
      <c r="D322" t="s">
        <v>296</v>
      </c>
      <c r="E322" s="130">
        <v>45504</v>
      </c>
      <c r="F322" t="s">
        <v>287</v>
      </c>
      <c r="G322">
        <v>29.31</v>
      </c>
      <c r="H322">
        <v>13.58</v>
      </c>
      <c r="I322">
        <v>0.68</v>
      </c>
      <c r="J322">
        <v>0.08</v>
      </c>
      <c r="K322">
        <v>0.14000000000000001</v>
      </c>
      <c r="L322">
        <v>0</v>
      </c>
      <c r="M322">
        <v>0.01</v>
      </c>
      <c r="N322">
        <v>0.01</v>
      </c>
      <c r="O322">
        <v>-0.14000000000000001</v>
      </c>
      <c r="P322">
        <v>-0.1</v>
      </c>
      <c r="Q322">
        <v>-0.01</v>
      </c>
      <c r="R322">
        <v>0</v>
      </c>
      <c r="S322">
        <v>0.48</v>
      </c>
      <c r="T322">
        <v>0.46</v>
      </c>
      <c r="U322">
        <v>0.23</v>
      </c>
      <c r="V322">
        <v>0</v>
      </c>
      <c r="W322">
        <v>0</v>
      </c>
      <c r="X322">
        <v>44.73</v>
      </c>
      <c r="Y322">
        <v>1062186.3959999999</v>
      </c>
      <c r="Z322" s="254">
        <f t="shared" si="4"/>
        <v>7</v>
      </c>
    </row>
    <row r="323" spans="2:26" hidden="1" x14ac:dyDescent="0.25">
      <c r="B323" t="s">
        <v>284</v>
      </c>
      <c r="C323">
        <v>4008</v>
      </c>
      <c r="D323" t="s">
        <v>296</v>
      </c>
      <c r="E323" s="130">
        <v>45504</v>
      </c>
      <c r="F323" t="s">
        <v>288</v>
      </c>
      <c r="G323">
        <v>49.86</v>
      </c>
      <c r="H323">
        <v>13.58</v>
      </c>
      <c r="I323">
        <v>0.97</v>
      </c>
      <c r="J323">
        <v>0.12</v>
      </c>
      <c r="K323">
        <v>0.3</v>
      </c>
      <c r="L323">
        <v>1.1299999999999999</v>
      </c>
      <c r="M323">
        <v>0.66</v>
      </c>
      <c r="N323">
        <v>0.01</v>
      </c>
      <c r="O323">
        <v>-0.08</v>
      </c>
      <c r="P323">
        <v>-0.1</v>
      </c>
      <c r="Q323">
        <v>0</v>
      </c>
      <c r="R323">
        <v>0</v>
      </c>
      <c r="S323">
        <v>0.48</v>
      </c>
      <c r="T323">
        <v>0.46</v>
      </c>
      <c r="U323">
        <v>0.23</v>
      </c>
      <c r="V323">
        <v>0</v>
      </c>
      <c r="W323">
        <v>0</v>
      </c>
      <c r="X323">
        <v>67.61</v>
      </c>
      <c r="Y323">
        <v>1130639.436</v>
      </c>
      <c r="Z323" s="254">
        <f t="shared" si="4"/>
        <v>7</v>
      </c>
    </row>
    <row r="324" spans="2:26" hidden="1" x14ac:dyDescent="0.25">
      <c r="B324" t="s">
        <v>284</v>
      </c>
      <c r="C324">
        <v>4008</v>
      </c>
      <c r="D324" t="s">
        <v>296</v>
      </c>
      <c r="E324" s="130">
        <v>45535</v>
      </c>
      <c r="F324" t="s">
        <v>286</v>
      </c>
      <c r="G324">
        <v>32.31</v>
      </c>
      <c r="H324">
        <v>17.04</v>
      </c>
      <c r="I324">
        <v>0.54</v>
      </c>
      <c r="J324">
        <v>0.06</v>
      </c>
      <c r="K324">
        <v>0.09</v>
      </c>
      <c r="L324">
        <v>0.65</v>
      </c>
      <c r="M324">
        <v>0.02</v>
      </c>
      <c r="N324">
        <v>0</v>
      </c>
      <c r="O324">
        <v>-0.1</v>
      </c>
      <c r="P324">
        <v>-0.14000000000000001</v>
      </c>
      <c r="Q324">
        <v>-0.01</v>
      </c>
      <c r="R324">
        <v>0</v>
      </c>
      <c r="S324">
        <v>0.48</v>
      </c>
      <c r="T324">
        <v>0.47</v>
      </c>
      <c r="U324">
        <v>0.23</v>
      </c>
      <c r="V324">
        <v>0</v>
      </c>
      <c r="W324">
        <v>0</v>
      </c>
      <c r="X324">
        <v>51.64</v>
      </c>
      <c r="Y324">
        <v>1809921.0109999999</v>
      </c>
      <c r="Z324" s="254">
        <f t="shared" si="4"/>
        <v>8</v>
      </c>
    </row>
    <row r="325" spans="2:26" hidden="1" x14ac:dyDescent="0.25">
      <c r="B325" t="s">
        <v>284</v>
      </c>
      <c r="C325">
        <v>4008</v>
      </c>
      <c r="D325" t="s">
        <v>296</v>
      </c>
      <c r="E325" s="130">
        <v>45535</v>
      </c>
      <c r="F325" t="s">
        <v>287</v>
      </c>
      <c r="G325">
        <v>29.79</v>
      </c>
      <c r="H325">
        <v>17.04</v>
      </c>
      <c r="I325">
        <v>0.56000000000000005</v>
      </c>
      <c r="J325">
        <v>0.06</v>
      </c>
      <c r="K325">
        <v>7.0000000000000007E-2</v>
      </c>
      <c r="L325">
        <v>0</v>
      </c>
      <c r="M325">
        <v>0.02</v>
      </c>
      <c r="N325">
        <v>0</v>
      </c>
      <c r="O325">
        <v>-0.12</v>
      </c>
      <c r="P325">
        <v>-0.14000000000000001</v>
      </c>
      <c r="Q325">
        <v>-0.01</v>
      </c>
      <c r="R325">
        <v>0</v>
      </c>
      <c r="S325">
        <v>0.48</v>
      </c>
      <c r="T325">
        <v>0.47</v>
      </c>
      <c r="U325">
        <v>0.23</v>
      </c>
      <c r="V325">
        <v>0</v>
      </c>
      <c r="W325">
        <v>0</v>
      </c>
      <c r="X325">
        <v>48.46</v>
      </c>
      <c r="Y325">
        <v>922319.89199999999</v>
      </c>
      <c r="Z325" s="254">
        <f t="shared" si="4"/>
        <v>8</v>
      </c>
    </row>
    <row r="326" spans="2:26" hidden="1" x14ac:dyDescent="0.25">
      <c r="B326" t="s">
        <v>284</v>
      </c>
      <c r="C326">
        <v>4008</v>
      </c>
      <c r="D326" t="s">
        <v>296</v>
      </c>
      <c r="E326" s="130">
        <v>45535</v>
      </c>
      <c r="F326" t="s">
        <v>288</v>
      </c>
      <c r="G326">
        <v>35.450000000000003</v>
      </c>
      <c r="H326">
        <v>17.04</v>
      </c>
      <c r="I326">
        <v>0.52</v>
      </c>
      <c r="J326">
        <v>0.06</v>
      </c>
      <c r="K326">
        <v>0.11</v>
      </c>
      <c r="L326">
        <v>1.46</v>
      </c>
      <c r="M326">
        <v>0.03</v>
      </c>
      <c r="N326">
        <v>-0.01</v>
      </c>
      <c r="O326">
        <v>-0.09</v>
      </c>
      <c r="P326">
        <v>-0.14000000000000001</v>
      </c>
      <c r="Q326">
        <v>-0.01</v>
      </c>
      <c r="R326">
        <v>0</v>
      </c>
      <c r="S326">
        <v>0.48</v>
      </c>
      <c r="T326">
        <v>0.47</v>
      </c>
      <c r="U326">
        <v>0.23</v>
      </c>
      <c r="V326">
        <v>0</v>
      </c>
      <c r="W326">
        <v>0</v>
      </c>
      <c r="X326">
        <v>55.6</v>
      </c>
      <c r="Y326">
        <v>887601.11899999995</v>
      </c>
      <c r="Z326" s="254">
        <f t="shared" si="4"/>
        <v>8</v>
      </c>
    </row>
    <row r="327" spans="2:26" hidden="1" x14ac:dyDescent="0.25">
      <c r="B327" t="s">
        <v>284</v>
      </c>
      <c r="C327">
        <v>4008</v>
      </c>
      <c r="D327" t="s">
        <v>296</v>
      </c>
      <c r="E327" s="130">
        <v>45565</v>
      </c>
      <c r="F327" t="s">
        <v>286</v>
      </c>
      <c r="G327">
        <v>35.25</v>
      </c>
      <c r="H327">
        <v>17.850000000000001</v>
      </c>
      <c r="I327">
        <v>0.64</v>
      </c>
      <c r="J327">
        <v>0.09</v>
      </c>
      <c r="K327">
        <v>0.16</v>
      </c>
      <c r="L327">
        <v>0.48</v>
      </c>
      <c r="M327">
        <v>0.02</v>
      </c>
      <c r="N327">
        <v>0</v>
      </c>
      <c r="O327">
        <v>-0.15</v>
      </c>
      <c r="P327">
        <v>-0.16</v>
      </c>
      <c r="Q327">
        <v>0</v>
      </c>
      <c r="R327">
        <v>0</v>
      </c>
      <c r="S327">
        <v>0.48</v>
      </c>
      <c r="T327">
        <v>0.46</v>
      </c>
      <c r="U327">
        <v>0.23</v>
      </c>
      <c r="V327">
        <v>0</v>
      </c>
      <c r="W327">
        <v>0</v>
      </c>
      <c r="X327">
        <v>55.35</v>
      </c>
      <c r="Y327">
        <v>1733110.105</v>
      </c>
      <c r="Z327" s="254">
        <f t="shared" si="4"/>
        <v>9</v>
      </c>
    </row>
    <row r="328" spans="2:26" hidden="1" x14ac:dyDescent="0.25">
      <c r="B328" t="s">
        <v>284</v>
      </c>
      <c r="C328">
        <v>4008</v>
      </c>
      <c r="D328" t="s">
        <v>296</v>
      </c>
      <c r="E328" s="130">
        <v>45565</v>
      </c>
      <c r="F328" t="s">
        <v>287</v>
      </c>
      <c r="G328">
        <v>30.79</v>
      </c>
      <c r="H328">
        <v>17.850000000000001</v>
      </c>
      <c r="I328">
        <v>0.56000000000000005</v>
      </c>
      <c r="J328">
        <v>0.09</v>
      </c>
      <c r="K328">
        <v>0.16</v>
      </c>
      <c r="L328">
        <v>0</v>
      </c>
      <c r="M328">
        <v>0.02</v>
      </c>
      <c r="N328">
        <v>0</v>
      </c>
      <c r="O328">
        <v>-0.12</v>
      </c>
      <c r="P328">
        <v>-0.16</v>
      </c>
      <c r="Q328">
        <v>0</v>
      </c>
      <c r="R328">
        <v>0</v>
      </c>
      <c r="S328">
        <v>0.48</v>
      </c>
      <c r="T328">
        <v>0.46</v>
      </c>
      <c r="U328">
        <v>0.23</v>
      </c>
      <c r="V328">
        <v>0</v>
      </c>
      <c r="W328">
        <v>0</v>
      </c>
      <c r="X328">
        <v>50.36</v>
      </c>
      <c r="Y328">
        <v>786132.56700000004</v>
      </c>
      <c r="Z328" s="254">
        <f t="shared" si="4"/>
        <v>9</v>
      </c>
    </row>
    <row r="329" spans="2:26" hidden="1" x14ac:dyDescent="0.25">
      <c r="B329" t="s">
        <v>284</v>
      </c>
      <c r="C329">
        <v>4008</v>
      </c>
      <c r="D329" t="s">
        <v>296</v>
      </c>
      <c r="E329" s="130">
        <v>45565</v>
      </c>
      <c r="F329" t="s">
        <v>288</v>
      </c>
      <c r="G329">
        <v>39.799999999999997</v>
      </c>
      <c r="H329">
        <v>17.850000000000001</v>
      </c>
      <c r="I329">
        <v>0.71</v>
      </c>
      <c r="J329">
        <v>0.1</v>
      </c>
      <c r="K329">
        <v>0.16</v>
      </c>
      <c r="L329">
        <v>0.97</v>
      </c>
      <c r="M329">
        <v>0.03</v>
      </c>
      <c r="N329">
        <v>0</v>
      </c>
      <c r="O329">
        <v>-0.18</v>
      </c>
      <c r="P329">
        <v>-0.16</v>
      </c>
      <c r="Q329">
        <v>0</v>
      </c>
      <c r="R329">
        <v>0</v>
      </c>
      <c r="S329">
        <v>0.48</v>
      </c>
      <c r="T329">
        <v>0.46</v>
      </c>
      <c r="U329">
        <v>0.23</v>
      </c>
      <c r="V329">
        <v>0</v>
      </c>
      <c r="W329">
        <v>0</v>
      </c>
      <c r="X329">
        <v>60.46</v>
      </c>
      <c r="Y329">
        <v>946977.53799999994</v>
      </c>
      <c r="Z329" s="254">
        <f t="shared" si="4"/>
        <v>9</v>
      </c>
    </row>
    <row r="330" spans="2:26" hidden="1" x14ac:dyDescent="0.25">
      <c r="B330" t="s">
        <v>284</v>
      </c>
      <c r="C330">
        <v>4008</v>
      </c>
      <c r="D330" t="s">
        <v>296</v>
      </c>
      <c r="E330" s="130">
        <v>45596</v>
      </c>
      <c r="F330" t="s">
        <v>286</v>
      </c>
      <c r="G330">
        <v>41.1</v>
      </c>
      <c r="H330">
        <v>17.57</v>
      </c>
      <c r="I330">
        <v>0.49</v>
      </c>
      <c r="J330">
        <v>0.11</v>
      </c>
      <c r="K330">
        <v>0.23</v>
      </c>
      <c r="L330">
        <v>0.48</v>
      </c>
      <c r="M330">
        <v>0.02</v>
      </c>
      <c r="N330">
        <v>0</v>
      </c>
      <c r="O330">
        <v>-0.3</v>
      </c>
      <c r="P330">
        <v>-0.18</v>
      </c>
      <c r="Q330">
        <v>-0.01</v>
      </c>
      <c r="R330">
        <v>0</v>
      </c>
      <c r="S330">
        <v>0.48</v>
      </c>
      <c r="T330">
        <v>0.47</v>
      </c>
      <c r="U330">
        <v>0.23</v>
      </c>
      <c r="V330">
        <v>0</v>
      </c>
      <c r="W330">
        <v>0</v>
      </c>
      <c r="X330">
        <v>60.69</v>
      </c>
      <c r="Y330">
        <v>1758179.32</v>
      </c>
      <c r="Z330" s="254">
        <f t="shared" si="4"/>
        <v>10</v>
      </c>
    </row>
    <row r="331" spans="2:26" hidden="1" x14ac:dyDescent="0.25">
      <c r="B331" t="s">
        <v>284</v>
      </c>
      <c r="C331">
        <v>4008</v>
      </c>
      <c r="D331" t="s">
        <v>296</v>
      </c>
      <c r="E331" s="130">
        <v>45596</v>
      </c>
      <c r="F331" t="s">
        <v>287</v>
      </c>
      <c r="G331">
        <v>36.909999999999997</v>
      </c>
      <c r="H331">
        <v>17.57</v>
      </c>
      <c r="I331">
        <v>0.42</v>
      </c>
      <c r="J331">
        <v>0.09</v>
      </c>
      <c r="K331">
        <v>0.17</v>
      </c>
      <c r="L331">
        <v>0</v>
      </c>
      <c r="M331">
        <v>0.01</v>
      </c>
      <c r="N331">
        <v>0.01</v>
      </c>
      <c r="O331">
        <v>-0.28999999999999998</v>
      </c>
      <c r="P331">
        <v>-0.18</v>
      </c>
      <c r="Q331">
        <v>-0.01</v>
      </c>
      <c r="R331">
        <v>0</v>
      </c>
      <c r="S331">
        <v>0.48</v>
      </c>
      <c r="T331">
        <v>0.47</v>
      </c>
      <c r="U331">
        <v>0.23</v>
      </c>
      <c r="V331">
        <v>0</v>
      </c>
      <c r="W331">
        <v>0</v>
      </c>
      <c r="X331">
        <v>55.89</v>
      </c>
      <c r="Y331">
        <v>902691.74399999995</v>
      </c>
      <c r="Z331" s="254">
        <f t="shared" si="4"/>
        <v>10</v>
      </c>
    </row>
    <row r="332" spans="2:26" hidden="1" x14ac:dyDescent="0.25">
      <c r="B332" t="s">
        <v>284</v>
      </c>
      <c r="C332">
        <v>4008</v>
      </c>
      <c r="D332" t="s">
        <v>296</v>
      </c>
      <c r="E332" s="130">
        <v>45596</v>
      </c>
      <c r="F332" t="s">
        <v>288</v>
      </c>
      <c r="G332">
        <v>46.34</v>
      </c>
      <c r="H332">
        <v>17.57</v>
      </c>
      <c r="I332">
        <v>0.57999999999999996</v>
      </c>
      <c r="J332">
        <v>0.14000000000000001</v>
      </c>
      <c r="K332">
        <v>0.3</v>
      </c>
      <c r="L332">
        <v>1.0900000000000001</v>
      </c>
      <c r="M332">
        <v>0.02</v>
      </c>
      <c r="N332">
        <v>0</v>
      </c>
      <c r="O332">
        <v>-0.33</v>
      </c>
      <c r="P332">
        <v>-0.18</v>
      </c>
      <c r="Q332">
        <v>0</v>
      </c>
      <c r="R332">
        <v>0</v>
      </c>
      <c r="S332">
        <v>0.48</v>
      </c>
      <c r="T332">
        <v>0.47</v>
      </c>
      <c r="U332">
        <v>0.23</v>
      </c>
      <c r="V332">
        <v>0</v>
      </c>
      <c r="W332">
        <v>0</v>
      </c>
      <c r="X332">
        <v>66.7</v>
      </c>
      <c r="Y332">
        <v>855487.576</v>
      </c>
      <c r="Z332" s="254">
        <f t="shared" si="4"/>
        <v>10</v>
      </c>
    </row>
    <row r="333" spans="2:26" hidden="1" x14ac:dyDescent="0.25">
      <c r="B333" t="s">
        <v>284</v>
      </c>
      <c r="C333">
        <v>4008</v>
      </c>
      <c r="D333" t="s">
        <v>296</v>
      </c>
      <c r="E333" s="130">
        <v>45626</v>
      </c>
      <c r="F333" t="s">
        <v>286</v>
      </c>
      <c r="G333">
        <v>85.29</v>
      </c>
      <c r="H333">
        <v>14.66</v>
      </c>
      <c r="I333">
        <v>0.6</v>
      </c>
      <c r="J333">
        <v>0.24</v>
      </c>
      <c r="K333">
        <v>0.17</v>
      </c>
      <c r="L333">
        <v>0.39</v>
      </c>
      <c r="M333">
        <v>0.04</v>
      </c>
      <c r="N333">
        <v>0.01</v>
      </c>
      <c r="O333">
        <v>-0.59</v>
      </c>
      <c r="P333">
        <v>-0.32</v>
      </c>
      <c r="Q333">
        <v>0</v>
      </c>
      <c r="R333">
        <v>0</v>
      </c>
      <c r="S333">
        <v>0.48</v>
      </c>
      <c r="T333">
        <v>0.46</v>
      </c>
      <c r="U333">
        <v>0.23</v>
      </c>
      <c r="V333">
        <v>2.58</v>
      </c>
      <c r="W333">
        <v>0</v>
      </c>
      <c r="X333">
        <v>104.24</v>
      </c>
      <c r="Y333">
        <v>2086869.8119999999</v>
      </c>
      <c r="Z333" s="254">
        <f t="shared" ref="Z333:Z336" si="5">MONTH(E333)</f>
        <v>11</v>
      </c>
    </row>
    <row r="334" spans="2:26" hidden="1" x14ac:dyDescent="0.25">
      <c r="B334" t="s">
        <v>284</v>
      </c>
      <c r="C334">
        <v>4008</v>
      </c>
      <c r="D334" t="s">
        <v>296</v>
      </c>
      <c r="E334" s="130">
        <v>45626</v>
      </c>
      <c r="F334" t="s">
        <v>287</v>
      </c>
      <c r="G334">
        <v>80.56</v>
      </c>
      <c r="H334">
        <v>14.66</v>
      </c>
      <c r="I334">
        <v>0.59</v>
      </c>
      <c r="J334">
        <v>0.19</v>
      </c>
      <c r="K334">
        <v>0.18</v>
      </c>
      <c r="L334">
        <v>0</v>
      </c>
      <c r="M334">
        <v>0.03</v>
      </c>
      <c r="N334">
        <v>0.01</v>
      </c>
      <c r="O334">
        <v>-0.57999999999999996</v>
      </c>
      <c r="P334">
        <v>-0.32</v>
      </c>
      <c r="Q334">
        <v>0</v>
      </c>
      <c r="R334">
        <v>0</v>
      </c>
      <c r="S334">
        <v>0.48</v>
      </c>
      <c r="T334">
        <v>0.46</v>
      </c>
      <c r="U334">
        <v>0.23</v>
      </c>
      <c r="V334">
        <v>2.61</v>
      </c>
      <c r="W334">
        <v>0</v>
      </c>
      <c r="X334">
        <v>99.11</v>
      </c>
      <c r="Y334">
        <v>1076877.463</v>
      </c>
      <c r="Z334" s="254">
        <f t="shared" si="5"/>
        <v>11</v>
      </c>
    </row>
    <row r="335" spans="2:26" hidden="1" x14ac:dyDescent="0.25">
      <c r="B335" t="s">
        <v>284</v>
      </c>
      <c r="C335">
        <v>4008</v>
      </c>
      <c r="D335" t="s">
        <v>296</v>
      </c>
      <c r="E335" s="130">
        <v>45626</v>
      </c>
      <c r="F335" t="s">
        <v>288</v>
      </c>
      <c r="G335">
        <v>91.03</v>
      </c>
      <c r="H335">
        <v>14.66</v>
      </c>
      <c r="I335">
        <v>0.61</v>
      </c>
      <c r="J335">
        <v>0.3</v>
      </c>
      <c r="K335">
        <v>0.15</v>
      </c>
      <c r="L335">
        <v>0.86</v>
      </c>
      <c r="M335">
        <v>0.05</v>
      </c>
      <c r="N335">
        <v>0</v>
      </c>
      <c r="O335">
        <v>-0.59</v>
      </c>
      <c r="P335">
        <v>-0.32</v>
      </c>
      <c r="Q335">
        <v>0.01</v>
      </c>
      <c r="R335">
        <v>0</v>
      </c>
      <c r="S335">
        <v>0.48</v>
      </c>
      <c r="T335">
        <v>0.46</v>
      </c>
      <c r="U335">
        <v>0.23</v>
      </c>
      <c r="V335">
        <v>2.5499999999999998</v>
      </c>
      <c r="W335">
        <v>0</v>
      </c>
      <c r="X335">
        <v>110.48</v>
      </c>
      <c r="Y335">
        <v>1009992.349</v>
      </c>
      <c r="Z335" s="254">
        <f t="shared" si="5"/>
        <v>11</v>
      </c>
    </row>
    <row r="336" spans="2:26" hidden="1" x14ac:dyDescent="0.25">
      <c r="B336" t="s">
        <v>297</v>
      </c>
      <c r="C336" t="s">
        <v>298</v>
      </c>
      <c r="Z336" s="254">
        <f t="shared" si="5"/>
        <v>1</v>
      </c>
    </row>
  </sheetData>
  <autoFilter ref="B11:Z336" xr:uid="{DCAD4434-B919-4EA3-BD4E-C3CAD339425A}">
    <filterColumn colId="2">
      <filters>
        <filter val=".Z.SEMASS"/>
      </filters>
    </filterColumn>
    <filterColumn colId="4">
      <filters>
        <filter val="ALL"/>
      </filters>
    </filterColumn>
  </autoFilter>
  <hyperlinks>
    <hyperlink ref="C4" r:id="rId1" xr:uid="{A8EE9075-3C44-40D5-9849-8B839E71803F}"/>
  </hyperlinks>
  <pageMargins left="0.7" right="0.7" top="0.75" bottom="0.75" header="0.3" footer="0.3"/>
  <pageSetup scale="5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AA5D2-4FB8-4074-9ADF-8D37167F36EF}">
  <sheetPr codeName="Sheet6">
    <tabColor theme="1"/>
  </sheetPr>
  <dimension ref="B2"/>
  <sheetViews>
    <sheetView workbookViewId="0"/>
  </sheetViews>
  <sheetFormatPr defaultRowHeight="15" x14ac:dyDescent="0.25"/>
  <sheetData>
    <row r="2" spans="2:2" ht="21" x14ac:dyDescent="0.35">
      <c r="B2" s="261"/>
    </row>
  </sheetData>
  <pageMargins left="0.7" right="0.7" top="0.75" bottom="0.75" header="0.3" footer="0.3"/>
  <pageSetup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05E80-D36F-46FA-A7FB-DC5787B9AF63}">
  <sheetPr codeName="Sheet33">
    <tabColor rgb="FFFFC000"/>
  </sheetPr>
  <dimension ref="B1:Z31"/>
  <sheetViews>
    <sheetView showGridLines="0" zoomScale="85" zoomScaleNormal="85" workbookViewId="0"/>
  </sheetViews>
  <sheetFormatPr defaultRowHeight="15" x14ac:dyDescent="0.25"/>
  <cols>
    <col min="1" max="2" width="2.7109375" customWidth="1"/>
    <col min="3" max="3" width="15.7109375" bestFit="1" customWidth="1"/>
    <col min="4" max="4" width="10.7109375" customWidth="1"/>
    <col min="5" max="5" width="10.42578125" customWidth="1"/>
    <col min="6" max="7" width="11.5703125" customWidth="1"/>
    <col min="8" max="8" width="16.85546875" bestFit="1" customWidth="1"/>
    <col min="9" max="9" width="10.42578125" bestFit="1" customWidth="1"/>
    <col min="10" max="10" width="10.7109375" bestFit="1" customWidth="1"/>
    <col min="11" max="11" width="16.85546875" bestFit="1" customWidth="1"/>
    <col min="12" max="12" width="10.42578125" bestFit="1" customWidth="1"/>
    <col min="13" max="13" width="10.7109375" bestFit="1" customWidth="1"/>
    <col min="14" max="14" width="16.85546875" bestFit="1" customWidth="1"/>
    <col min="15" max="15" width="10.42578125" bestFit="1" customWidth="1"/>
    <col min="16" max="16" width="10.7109375" bestFit="1" customWidth="1"/>
    <col min="17" max="17" width="11" customWidth="1"/>
    <col min="18" max="18" width="10.42578125" bestFit="1" customWidth="1"/>
    <col min="19" max="19" width="10.7109375" bestFit="1" customWidth="1"/>
    <col min="20" max="20" width="8.85546875" bestFit="1" customWidth="1"/>
    <col min="21" max="21" width="10.42578125" bestFit="1" customWidth="1"/>
    <col min="22" max="22" width="10.7109375" bestFit="1" customWidth="1"/>
    <col min="23" max="23" width="2.7109375" customWidth="1"/>
  </cols>
  <sheetData>
    <row r="1" spans="2:22" x14ac:dyDescent="0.25">
      <c r="J1" s="394"/>
    </row>
    <row r="2" spans="2:22" ht="21" x14ac:dyDescent="0.35">
      <c r="B2" s="261" t="s">
        <v>0</v>
      </c>
    </row>
    <row r="3" spans="2:22" ht="21" x14ac:dyDescent="0.35">
      <c r="B3" s="203" t="s">
        <v>336</v>
      </c>
    </row>
    <row r="5" spans="2:22" x14ac:dyDescent="0.25">
      <c r="C5" s="7" t="s">
        <v>373</v>
      </c>
      <c r="D5" s="7"/>
      <c r="E5" s="7"/>
    </row>
    <row r="6" spans="2:22" x14ac:dyDescent="0.25">
      <c r="C6" s="415" t="s">
        <v>416</v>
      </c>
      <c r="D6" s="382"/>
      <c r="E6" s="382"/>
      <c r="F6" s="4"/>
      <c r="G6" s="4"/>
    </row>
    <row r="7" spans="2:22" x14ac:dyDescent="0.25">
      <c r="C7" s="415" t="s">
        <v>562</v>
      </c>
      <c r="D7" s="382"/>
      <c r="E7" s="382"/>
      <c r="F7" s="4"/>
      <c r="G7" s="4"/>
    </row>
    <row r="8" spans="2:22" x14ac:dyDescent="0.25">
      <c r="C8" s="428" t="s">
        <v>563</v>
      </c>
      <c r="D8" s="382"/>
      <c r="E8" s="382"/>
      <c r="F8" s="4"/>
      <c r="G8" s="4"/>
    </row>
    <row r="9" spans="2:22" x14ac:dyDescent="0.25">
      <c r="C9" s="428" t="s">
        <v>564</v>
      </c>
      <c r="D9" s="382"/>
      <c r="E9" s="382"/>
      <c r="F9" s="4"/>
      <c r="G9" s="4"/>
    </row>
    <row r="10" spans="2:22" x14ac:dyDescent="0.25">
      <c r="C10" s="415" t="s">
        <v>759</v>
      </c>
      <c r="D10" s="382"/>
      <c r="E10" s="382"/>
    </row>
    <row r="11" spans="2:22" x14ac:dyDescent="0.25">
      <c r="C11" s="416" t="s">
        <v>758</v>
      </c>
      <c r="D11" s="383"/>
      <c r="E11" s="383"/>
    </row>
    <row r="12" spans="2:22" x14ac:dyDescent="0.25">
      <c r="C12" s="630" t="s">
        <v>565</v>
      </c>
    </row>
    <row r="14" spans="2:22" x14ac:dyDescent="0.25">
      <c r="C14" s="987" t="s">
        <v>341</v>
      </c>
      <c r="D14" s="988"/>
      <c r="E14" s="988"/>
      <c r="F14" s="989" t="s">
        <v>192</v>
      </c>
      <c r="G14" s="990"/>
      <c r="H14" s="988" t="s">
        <v>346</v>
      </c>
      <c r="I14" s="988"/>
      <c r="J14" s="988"/>
      <c r="K14" s="988"/>
      <c r="L14" s="988"/>
      <c r="M14" s="988"/>
      <c r="N14" s="988"/>
      <c r="O14" s="988"/>
      <c r="P14" s="988"/>
      <c r="Q14" s="988"/>
      <c r="R14" s="988"/>
      <c r="S14" s="988"/>
      <c r="T14" s="988"/>
      <c r="U14" s="988"/>
      <c r="V14" s="991"/>
    </row>
    <row r="15" spans="2:22" s="2" customFormat="1" ht="45" customHeight="1" x14ac:dyDescent="0.25">
      <c r="C15" s="985" t="s">
        <v>330</v>
      </c>
      <c r="D15" s="996" t="s">
        <v>345</v>
      </c>
      <c r="E15" s="996" t="s">
        <v>757</v>
      </c>
      <c r="F15" s="998" t="s">
        <v>126</v>
      </c>
      <c r="G15" s="998" t="s">
        <v>561</v>
      </c>
      <c r="H15" s="992" t="s">
        <v>15</v>
      </c>
      <c r="I15" s="992"/>
      <c r="J15" s="993"/>
      <c r="K15" s="994" t="s">
        <v>193</v>
      </c>
      <c r="L15" s="992"/>
      <c r="M15" s="993"/>
      <c r="N15" s="994" t="s">
        <v>307</v>
      </c>
      <c r="O15" s="992"/>
      <c r="P15" s="992"/>
      <c r="Q15" s="994" t="s">
        <v>339</v>
      </c>
      <c r="R15" s="992"/>
      <c r="S15" s="993"/>
      <c r="T15" s="994" t="s">
        <v>414</v>
      </c>
      <c r="U15" s="992"/>
      <c r="V15" s="995"/>
    </row>
    <row r="16" spans="2:22" s="2" customFormat="1" ht="30" customHeight="1" x14ac:dyDescent="0.25">
      <c r="C16" s="986"/>
      <c r="D16" s="997"/>
      <c r="E16" s="997"/>
      <c r="F16" s="999"/>
      <c r="G16" s="999"/>
      <c r="H16" s="373" t="s">
        <v>560</v>
      </c>
      <c r="I16" s="373" t="s">
        <v>116</v>
      </c>
      <c r="J16" s="446" t="s">
        <v>561</v>
      </c>
      <c r="K16" s="373" t="s">
        <v>560</v>
      </c>
      <c r="L16" s="445" t="s">
        <v>116</v>
      </c>
      <c r="M16" s="446" t="s">
        <v>561</v>
      </c>
      <c r="N16" s="373" t="s">
        <v>560</v>
      </c>
      <c r="O16" s="445" t="s">
        <v>116</v>
      </c>
      <c r="P16" s="446" t="s">
        <v>561</v>
      </c>
      <c r="Q16" s="373" t="s">
        <v>560</v>
      </c>
      <c r="R16" s="445" t="s">
        <v>415</v>
      </c>
      <c r="S16" s="446" t="s">
        <v>561</v>
      </c>
      <c r="T16" s="373" t="s">
        <v>560</v>
      </c>
      <c r="U16" s="445" t="s">
        <v>116</v>
      </c>
      <c r="V16" s="446" t="s">
        <v>561</v>
      </c>
    </row>
    <row r="17" spans="3:26" s="180" customFormat="1" ht="75" x14ac:dyDescent="0.25">
      <c r="C17" s="371" t="s">
        <v>182</v>
      </c>
      <c r="D17" s="372" t="s">
        <v>338</v>
      </c>
      <c r="E17" s="379" t="s">
        <v>234</v>
      </c>
      <c r="F17" s="412">
        <f>Inputs!E13</f>
        <v>0</v>
      </c>
      <c r="G17" s="455">
        <f>SUM(J17,M17,P17,S17,V17)</f>
        <v>0</v>
      </c>
      <c r="H17" s="530" t="s">
        <v>342</v>
      </c>
      <c r="I17" s="441">
        <f>Inputs!E55</f>
        <v>0</v>
      </c>
      <c r="J17" s="425">
        <v>0</v>
      </c>
      <c r="K17" s="411" t="s">
        <v>343</v>
      </c>
      <c r="L17" s="448">
        <f>F17</f>
        <v>0</v>
      </c>
      <c r="M17" s="439">
        <v>0</v>
      </c>
      <c r="N17" s="411" t="s">
        <v>344</v>
      </c>
      <c r="O17" s="441">
        <v>0</v>
      </c>
      <c r="P17" s="439">
        <v>0</v>
      </c>
      <c r="Q17" s="411" t="s">
        <v>347</v>
      </c>
      <c r="R17" s="441">
        <v>0</v>
      </c>
      <c r="S17" s="425">
        <v>0</v>
      </c>
      <c r="T17" s="411" t="s">
        <v>340</v>
      </c>
      <c r="U17" s="441">
        <f>Inputs!E63</f>
        <v>0</v>
      </c>
      <c r="V17" s="413">
        <v>0</v>
      </c>
    </row>
    <row r="18" spans="3:26" s="180" customFormat="1" x14ac:dyDescent="0.25">
      <c r="C18" s="368" t="s">
        <v>182</v>
      </c>
      <c r="D18" s="367" t="s">
        <v>338</v>
      </c>
      <c r="E18" s="369" t="s">
        <v>233</v>
      </c>
      <c r="F18" s="412">
        <f>Inputs!E14</f>
        <v>16</v>
      </c>
      <c r="G18" s="455">
        <f>SUM(J18,M18,P18,S18,V18)</f>
        <v>1658040.6099999999</v>
      </c>
      <c r="H18" s="370">
        <v>1</v>
      </c>
      <c r="I18" s="441">
        <f>Inputs!E56</f>
        <v>15</v>
      </c>
      <c r="J18" s="440">
        <f>Budget!G8</f>
        <v>969520.1</v>
      </c>
      <c r="K18" s="370">
        <v>1</v>
      </c>
      <c r="L18" s="449">
        <f>F18</f>
        <v>16</v>
      </c>
      <c r="M18" s="440">
        <f>Budget!G9</f>
        <v>572382.62</v>
      </c>
      <c r="N18" s="370">
        <v>1</v>
      </c>
      <c r="O18" s="451">
        <v>3</v>
      </c>
      <c r="P18" s="440">
        <f>Budget!G10</f>
        <v>112994.4</v>
      </c>
      <c r="Q18" s="370" t="s">
        <v>340</v>
      </c>
      <c r="R18" s="449">
        <v>1</v>
      </c>
      <c r="S18" s="453">
        <v>0</v>
      </c>
      <c r="T18" s="583">
        <v>1000</v>
      </c>
      <c r="U18" s="451">
        <f>Inputs!E64</f>
        <v>3</v>
      </c>
      <c r="V18" s="456">
        <f>Budget!G11</f>
        <v>3143.49</v>
      </c>
      <c r="X18" s="180" t="s">
        <v>27</v>
      </c>
    </row>
    <row r="19" spans="3:26" s="2" customFormat="1" ht="60" x14ac:dyDescent="0.25">
      <c r="C19" s="371" t="s">
        <v>117</v>
      </c>
      <c r="D19" s="372" t="s">
        <v>337</v>
      </c>
      <c r="E19" s="379" t="s">
        <v>234</v>
      </c>
      <c r="F19" s="412">
        <f>Inputs!E15</f>
        <v>8</v>
      </c>
      <c r="G19" s="455">
        <f>SUM(J19,M19,P19,S19,V19)</f>
        <v>315398.815</v>
      </c>
      <c r="H19" s="582">
        <v>1</v>
      </c>
      <c r="I19" s="441">
        <f>Inputs!E57</f>
        <v>2</v>
      </c>
      <c r="J19" s="426">
        <f>Budget!G15</f>
        <v>113525</v>
      </c>
      <c r="K19" s="454" t="s">
        <v>343</v>
      </c>
      <c r="L19" s="497" t="s">
        <v>786</v>
      </c>
      <c r="M19" s="426">
        <f>Budget!G16+Budget!G17</f>
        <v>200716.315</v>
      </c>
      <c r="N19" s="454" t="s">
        <v>344</v>
      </c>
      <c r="O19" s="441">
        <v>0</v>
      </c>
      <c r="P19" s="426">
        <v>0</v>
      </c>
      <c r="Q19" s="411" t="s">
        <v>347</v>
      </c>
      <c r="R19" s="448">
        <v>0</v>
      </c>
      <c r="S19" s="426">
        <v>0</v>
      </c>
      <c r="T19" s="583">
        <v>1000</v>
      </c>
      <c r="U19" s="441">
        <f>Inputs!E65</f>
        <v>1</v>
      </c>
      <c r="V19" s="457">
        <f>Budget!G18</f>
        <v>1157.5</v>
      </c>
      <c r="X19" s="509"/>
    </row>
    <row r="20" spans="3:26" s="2" customFormat="1" x14ac:dyDescent="0.25">
      <c r="C20" s="465" t="s">
        <v>117</v>
      </c>
      <c r="D20" s="466" t="s">
        <v>337</v>
      </c>
      <c r="E20" s="467" t="s">
        <v>233</v>
      </c>
      <c r="F20" s="468">
        <f>Inputs!E16</f>
        <v>31</v>
      </c>
      <c r="G20" s="427">
        <f>SUM(J20,M20,P20,S20,V20)</f>
        <v>2740863.2450000001</v>
      </c>
      <c r="H20" s="531">
        <v>1</v>
      </c>
      <c r="I20" s="441">
        <f>Inputs!E58</f>
        <v>28</v>
      </c>
      <c r="J20" s="438">
        <f>Budget!G20</f>
        <v>1280313.0449999999</v>
      </c>
      <c r="K20" s="447">
        <v>1</v>
      </c>
      <c r="L20" s="450">
        <f>F20</f>
        <v>31</v>
      </c>
      <c r="M20" s="438">
        <f>Budget!G21</f>
        <v>1111935.085</v>
      </c>
      <c r="N20" s="447">
        <v>1</v>
      </c>
      <c r="O20" s="452">
        <v>9</v>
      </c>
      <c r="P20" s="458">
        <f>Budget!G22</f>
        <v>344036.11500000005</v>
      </c>
      <c r="Q20" s="447" t="s">
        <v>340</v>
      </c>
      <c r="R20" s="450">
        <v>2</v>
      </c>
      <c r="S20" s="458">
        <v>0</v>
      </c>
      <c r="T20" s="584">
        <v>1000</v>
      </c>
      <c r="U20" s="452">
        <f>Inputs!E66</f>
        <v>4</v>
      </c>
      <c r="V20" s="459">
        <f>Budget!G23</f>
        <v>4579</v>
      </c>
    </row>
    <row r="21" spans="3:26" s="180" customFormat="1" x14ac:dyDescent="0.25">
      <c r="C21" s="460" t="s">
        <v>176</v>
      </c>
      <c r="D21" s="461"/>
      <c r="E21" s="462"/>
      <c r="F21" s="463">
        <f>SUM(F17:F20)</f>
        <v>55</v>
      </c>
      <c r="G21" s="464">
        <f>SUM(J21,M21,P21,S21,V21)</f>
        <v>4714302.67</v>
      </c>
      <c r="H21" s="442"/>
      <c r="I21" s="443">
        <f>SUM(I17:I20)</f>
        <v>45</v>
      </c>
      <c r="J21" s="444">
        <f>SUM(J17:J20)</f>
        <v>2363358.145</v>
      </c>
      <c r="K21" s="442"/>
      <c r="L21" s="443">
        <f>SUM(L17,L18,F19,L20)</f>
        <v>55</v>
      </c>
      <c r="M21" s="444">
        <f>SUM(M17:M20)</f>
        <v>1885034.02</v>
      </c>
      <c r="N21" s="442"/>
      <c r="O21" s="443">
        <f>SUM(O17:O20)</f>
        <v>12</v>
      </c>
      <c r="P21" s="444">
        <f>SUM(P17:P20)</f>
        <v>457030.51500000001</v>
      </c>
      <c r="Q21" s="442"/>
      <c r="R21" s="443">
        <f>SUM(R17:R20)</f>
        <v>3</v>
      </c>
      <c r="S21" s="444">
        <f>SUM(S17:S20)</f>
        <v>0</v>
      </c>
      <c r="T21" s="442"/>
      <c r="U21" s="443">
        <f>SUM(U17:U20)</f>
        <v>8</v>
      </c>
      <c r="V21" s="444">
        <f>SUM(V17:V20)</f>
        <v>8879.99</v>
      </c>
    </row>
    <row r="23" spans="3:26" x14ac:dyDescent="0.25">
      <c r="G23" s="394"/>
      <c r="H23" s="4"/>
      <c r="I23" s="4"/>
      <c r="J23" s="4"/>
      <c r="N23" s="4"/>
    </row>
    <row r="24" spans="3:26" x14ac:dyDescent="0.25">
      <c r="G24" s="3"/>
    </row>
    <row r="25" spans="3:26" x14ac:dyDescent="0.25">
      <c r="I25" s="4"/>
      <c r="J25" s="4"/>
      <c r="Q25" s="375"/>
      <c r="R25" s="4"/>
      <c r="S25" s="4"/>
      <c r="T25" s="4"/>
      <c r="U25" s="4"/>
      <c r="V25" s="4"/>
    </row>
    <row r="26" spans="3:26" x14ac:dyDescent="0.25">
      <c r="I26" s="385"/>
    </row>
    <row r="27" spans="3:26" x14ac:dyDescent="0.25">
      <c r="I27" s="385"/>
    </row>
    <row r="28" spans="3:26" x14ac:dyDescent="0.25">
      <c r="F28" s="22"/>
      <c r="G28" s="483"/>
      <c r="I28" s="186"/>
      <c r="Z28" t="s">
        <v>27</v>
      </c>
    </row>
    <row r="29" spans="3:26" x14ac:dyDescent="0.25">
      <c r="F29" s="22"/>
      <c r="G29" s="385"/>
    </row>
    <row r="30" spans="3:26" x14ac:dyDescent="0.25">
      <c r="G30" s="483"/>
      <c r="H30" s="385"/>
    </row>
    <row r="31" spans="3:26" x14ac:dyDescent="0.25">
      <c r="G31" s="385"/>
    </row>
  </sheetData>
  <mergeCells count="13">
    <mergeCell ref="C15:C16"/>
    <mergeCell ref="C14:E14"/>
    <mergeCell ref="F14:G14"/>
    <mergeCell ref="H14:V14"/>
    <mergeCell ref="H15:J15"/>
    <mergeCell ref="T15:V15"/>
    <mergeCell ref="Q15:S15"/>
    <mergeCell ref="N15:P15"/>
    <mergeCell ref="K15:M15"/>
    <mergeCell ref="E15:E16"/>
    <mergeCell ref="D15:D16"/>
    <mergeCell ref="F15:F16"/>
    <mergeCell ref="G15:G16"/>
  </mergeCells>
  <pageMargins left="0.7" right="0.7" top="0.75" bottom="0.75" header="0.3" footer="0.3"/>
  <pageSetup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EB92E-96E5-481F-8FF2-A6165104F5AB}">
  <sheetPr codeName="Sheet10">
    <tabColor rgb="FFFFC000"/>
  </sheetPr>
  <dimension ref="B2:O53"/>
  <sheetViews>
    <sheetView showGridLines="0" zoomScale="85" zoomScaleNormal="85" workbookViewId="0"/>
  </sheetViews>
  <sheetFormatPr defaultRowHeight="15" x14ac:dyDescent="0.25"/>
  <cols>
    <col min="1" max="2" width="2.7109375" customWidth="1"/>
    <col min="3" max="3" width="51.85546875" customWidth="1"/>
    <col min="4" max="4" width="12.5703125" bestFit="1" customWidth="1"/>
    <col min="5" max="5" width="11.5703125" bestFit="1" customWidth="1"/>
    <col min="6" max="6" width="16" customWidth="1"/>
    <col min="7" max="7" width="11.140625" bestFit="1" customWidth="1"/>
    <col min="8" max="8" width="10.5703125" bestFit="1" customWidth="1"/>
    <col min="9" max="10" width="2.7109375" customWidth="1"/>
    <col min="11" max="11" width="42" customWidth="1"/>
    <col min="12" max="14" width="12.28515625" customWidth="1"/>
    <col min="16" max="16" width="10.5703125" bestFit="1" customWidth="1"/>
  </cols>
  <sheetData>
    <row r="2" spans="2:15" ht="21" x14ac:dyDescent="0.35">
      <c r="B2" s="261" t="s">
        <v>0</v>
      </c>
      <c r="E2" s="4"/>
    </row>
    <row r="3" spans="2:15" ht="21" x14ac:dyDescent="0.35">
      <c r="B3" s="203" t="s">
        <v>118</v>
      </c>
    </row>
    <row r="5" spans="2:15" ht="18.75" x14ac:dyDescent="0.3">
      <c r="C5" s="329" t="s">
        <v>520</v>
      </c>
      <c r="K5" s="329" t="s">
        <v>331</v>
      </c>
      <c r="L5" s="6"/>
      <c r="O5" s="4"/>
    </row>
    <row r="6" spans="2:15" x14ac:dyDescent="0.25">
      <c r="C6" s="1006" t="s">
        <v>372</v>
      </c>
      <c r="D6" s="1009" t="s">
        <v>80</v>
      </c>
      <c r="E6" s="1009" t="s">
        <v>356</v>
      </c>
      <c r="F6" s="1009" t="s">
        <v>79</v>
      </c>
      <c r="G6" s="1009" t="s">
        <v>81</v>
      </c>
      <c r="H6" s="1009" t="s">
        <v>119</v>
      </c>
      <c r="K6" s="1002" t="s">
        <v>332</v>
      </c>
      <c r="L6" s="1004" t="s">
        <v>332</v>
      </c>
      <c r="M6" s="1000" t="s">
        <v>699</v>
      </c>
      <c r="N6" s="1001"/>
    </row>
    <row r="7" spans="2:15" x14ac:dyDescent="0.25">
      <c r="C7" s="1007"/>
      <c r="D7" s="1009"/>
      <c r="E7" s="1009"/>
      <c r="F7" s="1009"/>
      <c r="G7" s="1009"/>
      <c r="H7" s="1009"/>
      <c r="K7" s="1003"/>
      <c r="L7" s="1005"/>
      <c r="M7" s="277" t="s">
        <v>326</v>
      </c>
      <c r="N7" s="278" t="s">
        <v>120</v>
      </c>
    </row>
    <row r="8" spans="2:15" x14ac:dyDescent="0.25">
      <c r="C8" s="1008"/>
      <c r="D8" s="1009"/>
      <c r="E8" s="1009"/>
      <c r="F8" s="1009"/>
      <c r="G8" s="1009"/>
      <c r="H8" s="1009"/>
      <c r="K8" s="429" t="s">
        <v>123</v>
      </c>
      <c r="L8" s="799">
        <f>EES!I23</f>
        <v>3.0100000000000023E-3</v>
      </c>
      <c r="M8" s="431">
        <f>BillsSummary!F10</f>
        <v>1.5900000000000034</v>
      </c>
      <c r="N8" s="802">
        <f>BillsSummary!G10</f>
        <v>8.6132177681473646E-3</v>
      </c>
    </row>
    <row r="9" spans="2:15" ht="15" customHeight="1" x14ac:dyDescent="0.25">
      <c r="C9" s="510" t="s">
        <v>237</v>
      </c>
      <c r="D9" s="511">
        <f>SUM(D10:D13)</f>
        <v>0</v>
      </c>
      <c r="E9" s="511">
        <f t="shared" ref="E9:G9" si="0">SUM(E10:E13)</f>
        <v>1475532.93</v>
      </c>
      <c r="F9" s="511">
        <f>SUM(F10:F13)</f>
        <v>216595.71999999997</v>
      </c>
      <c r="G9" s="511">
        <f t="shared" si="0"/>
        <v>238762.04200000002</v>
      </c>
      <c r="H9" s="511">
        <f>SUM(D9:G9)</f>
        <v>1930890.6919999998</v>
      </c>
      <c r="K9" s="569" t="s">
        <v>125</v>
      </c>
      <c r="L9" s="800">
        <f>L8</f>
        <v>3.0100000000000023E-3</v>
      </c>
      <c r="M9" s="430">
        <f>BillsSummary!F14</f>
        <v>2.2399999999999523</v>
      </c>
      <c r="N9" s="803">
        <f>BillsSummary!G14</f>
        <v>8.9296392266292688E-3</v>
      </c>
    </row>
    <row r="10" spans="2:15" ht="15" customHeight="1" x14ac:dyDescent="0.25">
      <c r="C10" s="568" t="s">
        <v>121</v>
      </c>
      <c r="D10" s="257">
        <f>SUMIFS(Variances!E$25:E$35,Variances!$C$25:$C$35,$C10)</f>
        <v>0</v>
      </c>
      <c r="E10" s="257">
        <f>SUMIFS(Variances!F$25:F$35,Variances!$C$25:$C$35,$C10)</f>
        <v>1438511.4</v>
      </c>
      <c r="F10" s="257">
        <f>SUMIFS(Variances!G$25:G$35,Variances!$C$25:$C$35,$C10)</f>
        <v>216385.71999999997</v>
      </c>
      <c r="G10" s="257">
        <f>SUMIFS(Variances!H$25:H$35,Variances!$C$25:$C$35,$C10)</f>
        <v>0</v>
      </c>
      <c r="H10" s="257">
        <f t="shared" ref="H10:H16" si="1">SUM(D10:G10)</f>
        <v>1654897.1199999999</v>
      </c>
      <c r="K10" s="429" t="s">
        <v>599</v>
      </c>
      <c r="L10" s="799">
        <f>L8</f>
        <v>3.0100000000000023E-3</v>
      </c>
      <c r="M10" s="431">
        <f>BillsSummary!F12</f>
        <v>0.82999999999999829</v>
      </c>
      <c r="N10" s="804">
        <f>BillsSummary!G12</f>
        <v>8.5965820818228716E-3</v>
      </c>
    </row>
    <row r="11" spans="2:15" ht="15" customHeight="1" x14ac:dyDescent="0.25">
      <c r="C11" s="568" t="s">
        <v>510</v>
      </c>
      <c r="D11" s="257">
        <f>SUMIFS(Variances!E$25:E$35,Variances!$C$25:$C$35,$C11)</f>
        <v>0</v>
      </c>
      <c r="E11" s="257">
        <f>SUMIFS(Variances!F$25:F$35,Variances!$C$25:$C$35,$C11)</f>
        <v>8879.99</v>
      </c>
      <c r="F11" s="257">
        <f>SUMIFS(Variances!G$25:G$35,Variances!$C$25:$C$35,$C11)</f>
        <v>0</v>
      </c>
      <c r="G11" s="257">
        <f>SUMIFS(Variances!H$25:H$35,Variances!$C$25:$C$35,$C11)</f>
        <v>0</v>
      </c>
      <c r="H11" s="257">
        <f t="shared" si="1"/>
        <v>8879.99</v>
      </c>
      <c r="K11" s="569" t="s">
        <v>602</v>
      </c>
      <c r="L11" s="801">
        <f>L10</f>
        <v>3.0100000000000023E-3</v>
      </c>
      <c r="M11" s="430">
        <f>BillsSummary!F16</f>
        <v>1.4499999999999886</v>
      </c>
      <c r="N11" s="805">
        <f>BillsSummary!G16</f>
        <v>8.9822213962707578E-3</v>
      </c>
    </row>
    <row r="12" spans="2:15" ht="15" customHeight="1" x14ac:dyDescent="0.25">
      <c r="C12" s="568" t="s">
        <v>461</v>
      </c>
      <c r="D12" s="257">
        <f>SUMIFS(Variances!E$25:E$35,Variances!$C$25:$C$35,$C12)</f>
        <v>0</v>
      </c>
      <c r="E12" s="257">
        <f>SUMIFS(Variances!F$25:F$35,Variances!$C$25:$C$35,$C12)</f>
        <v>28141.54</v>
      </c>
      <c r="F12" s="257">
        <f>SUMIFS(Variances!G$25:G$35,Variances!$C$25:$C$35,$C12)</f>
        <v>210</v>
      </c>
      <c r="G12" s="257">
        <f>SUMIFS(Variances!H$25:H$35,Variances!$C$25:$C$35,$C12)</f>
        <v>0</v>
      </c>
      <c r="H12" s="257">
        <f t="shared" si="1"/>
        <v>28351.54</v>
      </c>
      <c r="K12" s="429" t="str">
        <f>"C&amp;I Min: "&amp;BillsSummary!F44</f>
        <v>C&amp;I Min: Rate G-1 Small General Service</v>
      </c>
      <c r="L12" s="797">
        <f>EES!K23</f>
        <v>2.2000000000000006E-3</v>
      </c>
      <c r="M12" s="431">
        <f>BillsSummary!F46</f>
        <v>3.6299999999999955</v>
      </c>
      <c r="N12" s="804">
        <f>BillsSummary!F45</f>
        <v>7.7304768192175714E-3</v>
      </c>
    </row>
    <row r="13" spans="2:15" ht="15" customHeight="1" x14ac:dyDescent="0.25">
      <c r="C13" s="568" t="s">
        <v>458</v>
      </c>
      <c r="D13" s="257">
        <f>SUMIFS(Variances!E$25:E$35,Variances!$C$25:$C$35,$C13)</f>
        <v>0</v>
      </c>
      <c r="E13" s="257">
        <f>SUMIFS(Variances!F$25:F$35,Variances!$C$25:$C$35,$C13)</f>
        <v>0</v>
      </c>
      <c r="F13" s="257">
        <f>SUMIFS(Variances!G$25:G$35,Variances!$C$25:$C$35,$C13)</f>
        <v>0</v>
      </c>
      <c r="G13" s="257">
        <f>SUMIFS(Variances!H$25:H$35,Variances!$C$25:$C$35,$C13)</f>
        <v>238762.04200000002</v>
      </c>
      <c r="H13" s="257">
        <f t="shared" si="1"/>
        <v>238762.04200000002</v>
      </c>
      <c r="K13" s="796" t="str">
        <f>"C&amp;I Min: "&amp;BillsSummary!G44</f>
        <v>C&amp;I Min: Rate G-3 Large General Service</v>
      </c>
      <c r="L13" s="798">
        <f>L12</f>
        <v>2.2000000000000006E-3</v>
      </c>
      <c r="M13" s="430">
        <f>BillsSummary!G46</f>
        <v>1094.6100000000151</v>
      </c>
      <c r="N13" s="805">
        <f>BillsSummary!G45</f>
        <v>1.3113475572391693E-2</v>
      </c>
    </row>
    <row r="14" spans="2:15" ht="15" customHeight="1" x14ac:dyDescent="0.25">
      <c r="C14" s="510" t="s">
        <v>238</v>
      </c>
      <c r="D14" s="511">
        <f>SUM(D15:D16)</f>
        <v>0</v>
      </c>
      <c r="E14" s="511">
        <f t="shared" ref="E14:G14" si="2">SUM(E15:E16)</f>
        <v>2610497.2099999995</v>
      </c>
      <c r="F14" s="511">
        <f t="shared" si="2"/>
        <v>411676.81</v>
      </c>
      <c r="G14" s="511">
        <f t="shared" si="2"/>
        <v>61066.058000000005</v>
      </c>
      <c r="H14" s="511">
        <f t="shared" si="1"/>
        <v>3083240.0779999997</v>
      </c>
      <c r="K14" s="794"/>
      <c r="L14" s="794"/>
      <c r="M14" s="794"/>
      <c r="N14" s="794"/>
    </row>
    <row r="15" spans="2:15" ht="15" customHeight="1" x14ac:dyDescent="0.25">
      <c r="C15" s="568" t="s">
        <v>122</v>
      </c>
      <c r="D15" s="257">
        <f>SUMIFS(Variances!E$25:E$35,Variances!$C$25:$C$35,$C15)</f>
        <v>0</v>
      </c>
      <c r="E15" s="257">
        <f>SUMIFS(Variances!F$25:F$35,Variances!$C$25:$C$35,$C15)</f>
        <v>2610497.2099999995</v>
      </c>
      <c r="F15" s="257">
        <f>SUMIFS(Variances!G$25:G$35,Variances!$C$25:$C$35,$C15)</f>
        <v>411676.81</v>
      </c>
      <c r="G15" s="257">
        <f>SUMIFS(Variances!H$25:H$35,Variances!$C$25:$C$35,$C15)</f>
        <v>0</v>
      </c>
      <c r="H15" s="257">
        <f t="shared" si="1"/>
        <v>3022174.0199999996</v>
      </c>
      <c r="K15" s="795"/>
      <c r="L15" s="795"/>
      <c r="M15" s="795"/>
      <c r="N15" s="795"/>
    </row>
    <row r="16" spans="2:15" ht="15" customHeight="1" x14ac:dyDescent="0.3">
      <c r="C16" s="569" t="s">
        <v>459</v>
      </c>
      <c r="D16" s="257">
        <f>SUMIFS(Variances!E$25:E$35,Variances!$C$25:$C$35,$C16)</f>
        <v>0</v>
      </c>
      <c r="E16" s="257">
        <f>SUMIFS(Variances!F$25:F$35,Variances!$C$25:$C$35,$C16)</f>
        <v>0</v>
      </c>
      <c r="F16" s="257">
        <f>SUMIFS(Variances!G$25:G$35,Variances!$C$25:$C$35,$C16)</f>
        <v>0</v>
      </c>
      <c r="G16" s="257">
        <f>SUMIFS(Variances!H$25:H$35,Variances!$C$25:$C$35,$C16)</f>
        <v>61066.058000000005</v>
      </c>
      <c r="H16" s="257">
        <f t="shared" si="1"/>
        <v>61066.058000000005</v>
      </c>
      <c r="K16" s="329" t="s">
        <v>417</v>
      </c>
      <c r="N16" s="795"/>
    </row>
    <row r="17" spans="3:15" ht="15" customHeight="1" x14ac:dyDescent="0.25">
      <c r="C17" s="570" t="s">
        <v>124</v>
      </c>
      <c r="D17" s="571">
        <f>SUM(D9,D14)</f>
        <v>0</v>
      </c>
      <c r="E17" s="571">
        <f>SUM(E9,E14)</f>
        <v>4086030.1399999997</v>
      </c>
      <c r="F17" s="571">
        <f>SUM(F9,F14)</f>
        <v>628272.53</v>
      </c>
      <c r="G17" s="571">
        <f>SUM(G9,G14)</f>
        <v>299828.10000000003</v>
      </c>
      <c r="H17" s="571">
        <f>SUM(H9,H14)</f>
        <v>5014130.7699999996</v>
      </c>
      <c r="K17" s="932" t="s">
        <v>418</v>
      </c>
      <c r="L17" s="933"/>
    </row>
    <row r="18" spans="3:15" x14ac:dyDescent="0.25">
      <c r="C18" s="3"/>
      <c r="K18" s="17" t="s">
        <v>126</v>
      </c>
      <c r="L18" s="87">
        <f>Budget!I17</f>
        <v>6</v>
      </c>
    </row>
    <row r="19" spans="3:15" ht="15" customHeight="1" x14ac:dyDescent="0.25">
      <c r="K19" s="105" t="s">
        <v>419</v>
      </c>
      <c r="L19" s="226">
        <f>Inputs!E71/L18</f>
        <v>17450.5</v>
      </c>
    </row>
    <row r="20" spans="3:15" x14ac:dyDescent="0.25">
      <c r="K20" s="105" t="s">
        <v>351</v>
      </c>
      <c r="L20" s="226">
        <f>L19/Inputs!E72/12</f>
        <v>207.74404761904762</v>
      </c>
    </row>
    <row r="21" spans="3:15" ht="15" customHeight="1" x14ac:dyDescent="0.25">
      <c r="K21" s="106" t="s">
        <v>128</v>
      </c>
      <c r="L21" s="227">
        <f>Payback!F14</f>
        <v>5.4311465194951021</v>
      </c>
    </row>
    <row r="22" spans="3:15" ht="15" customHeight="1" x14ac:dyDescent="0.25">
      <c r="O22" s="77"/>
    </row>
    <row r="23" spans="3:15" ht="15" customHeight="1" x14ac:dyDescent="0.25"/>
    <row r="24" spans="3:15" ht="18.75" x14ac:dyDescent="0.3">
      <c r="G24" s="4"/>
      <c r="K24" s="329" t="s">
        <v>328</v>
      </c>
    </row>
    <row r="25" spans="3:15" ht="15" customHeight="1" x14ac:dyDescent="0.25">
      <c r="G25" s="4"/>
      <c r="K25" s="356" t="s">
        <v>421</v>
      </c>
      <c r="L25" s="919">
        <f>'LI%'!F11</f>
        <v>0.21416056395432756</v>
      </c>
      <c r="M25" s="167" t="s">
        <v>236</v>
      </c>
    </row>
    <row r="26" spans="3:15" x14ac:dyDescent="0.25">
      <c r="F26" s="117"/>
      <c r="G26" s="4"/>
      <c r="K26" s="36" t="s">
        <v>241</v>
      </c>
      <c r="L26" s="414">
        <f>ROUND('LI Subsidy'!H15,-3)</f>
        <v>22000</v>
      </c>
      <c r="M26" s="18" t="s">
        <v>329</v>
      </c>
    </row>
    <row r="27" spans="3:15" x14ac:dyDescent="0.25">
      <c r="F27" s="117"/>
      <c r="K27" s="36" t="s">
        <v>423</v>
      </c>
      <c r="L27" s="250">
        <f>RECs!D11</f>
        <v>62400</v>
      </c>
      <c r="M27" s="18" t="s">
        <v>329</v>
      </c>
    </row>
    <row r="28" spans="3:15" x14ac:dyDescent="0.25">
      <c r="F28" s="117"/>
      <c r="K28" s="25" t="s">
        <v>422</v>
      </c>
      <c r="L28" s="357">
        <f>APS!D9</f>
        <v>1260</v>
      </c>
      <c r="M28" s="61" t="s">
        <v>194</v>
      </c>
    </row>
    <row r="50" spans="4:5" x14ac:dyDescent="0.25">
      <c r="D50" s="235" t="s">
        <v>129</v>
      </c>
      <c r="E50" s="236"/>
    </row>
    <row r="51" spans="4:5" x14ac:dyDescent="0.25">
      <c r="D51" s="237">
        <f>H9/1000000</f>
        <v>1.9308906919999997</v>
      </c>
      <c r="E51" s="236"/>
    </row>
    <row r="52" spans="4:5" x14ac:dyDescent="0.25">
      <c r="D52" s="237">
        <f>H14/1000000</f>
        <v>3.0832400779999998</v>
      </c>
      <c r="E52" s="236"/>
    </row>
    <row r="53" spans="4:5" x14ac:dyDescent="0.25">
      <c r="E53" s="236"/>
    </row>
  </sheetData>
  <mergeCells count="9">
    <mergeCell ref="M6:N6"/>
    <mergeCell ref="K6:K7"/>
    <mergeCell ref="L6:L7"/>
    <mergeCell ref="C6:C8"/>
    <mergeCell ref="H6:H8"/>
    <mergeCell ref="G6:G8"/>
    <mergeCell ref="F6:F8"/>
    <mergeCell ref="E6:E8"/>
    <mergeCell ref="D6:D8"/>
  </mergeCells>
  <pageMargins left="0.7" right="0.7" top="0.75" bottom="0.75" header="0.3" footer="0.3"/>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2B5B9-FF65-463A-8323-8D4C276C7110}">
  <sheetPr codeName="Sheet34">
    <tabColor theme="7"/>
  </sheetPr>
  <dimension ref="B1:AU56"/>
  <sheetViews>
    <sheetView showGridLines="0" zoomScale="85" zoomScaleNormal="85" zoomScaleSheetLayoutView="40" workbookViewId="0"/>
  </sheetViews>
  <sheetFormatPr defaultRowHeight="15" x14ac:dyDescent="0.25"/>
  <cols>
    <col min="1" max="2" width="2.7109375" customWidth="1"/>
    <col min="3" max="3" width="53.85546875" customWidth="1"/>
    <col min="4" max="4" width="11.42578125" bestFit="1" customWidth="1"/>
    <col min="5" max="6" width="13.42578125" customWidth="1"/>
    <col min="7" max="7" width="14.42578125" customWidth="1"/>
    <col min="8" max="9" width="13.42578125" customWidth="1"/>
    <col min="10" max="10" width="11.85546875" customWidth="1"/>
    <col min="11" max="11" width="13.5703125" customWidth="1"/>
    <col min="12" max="15" width="11.140625" customWidth="1"/>
    <col min="16" max="17" width="12.28515625" customWidth="1"/>
    <col min="18" max="23" width="11.42578125" customWidth="1"/>
    <col min="26" max="29" width="14.28515625" customWidth="1"/>
    <col min="30" max="30" width="14" customWidth="1"/>
    <col min="31" max="31" width="12" customWidth="1"/>
    <col min="32" max="32" width="13.42578125" customWidth="1"/>
    <col min="33" max="33" width="13.28515625" customWidth="1"/>
    <col min="34" max="35" width="14.28515625" customWidth="1"/>
    <col min="36" max="36" width="2.7109375" customWidth="1"/>
    <col min="37" max="37" width="46.5703125" bestFit="1" customWidth="1"/>
    <col min="38" max="40" width="15.42578125" customWidth="1"/>
    <col min="41" max="43" width="6.5703125" customWidth="1"/>
    <col min="44" max="46" width="2.7109375" customWidth="1"/>
  </cols>
  <sheetData>
    <row r="1" spans="2:47" x14ac:dyDescent="0.25">
      <c r="D1" s="4"/>
      <c r="E1" s="4"/>
      <c r="J1" s="4"/>
    </row>
    <row r="2" spans="2:47" ht="21" x14ac:dyDescent="0.35">
      <c r="B2" s="261" t="s">
        <v>0</v>
      </c>
      <c r="J2" s="4"/>
    </row>
    <row r="3" spans="2:47" ht="21" x14ac:dyDescent="0.35">
      <c r="B3" s="203" t="s">
        <v>431</v>
      </c>
      <c r="J3" s="4"/>
    </row>
    <row r="5" spans="2:47" ht="15.75" x14ac:dyDescent="0.25">
      <c r="C5" s="478" t="s">
        <v>457</v>
      </c>
      <c r="D5" s="474" t="s">
        <v>451</v>
      </c>
      <c r="E5" s="1018" t="s">
        <v>456</v>
      </c>
      <c r="F5" s="1019"/>
      <c r="G5" s="1019"/>
      <c r="H5" s="1019"/>
      <c r="I5" s="1019"/>
      <c r="J5" s="1019"/>
      <c r="K5" s="1020"/>
      <c r="L5" s="1033" t="s">
        <v>453</v>
      </c>
      <c r="M5" s="1034"/>
      <c r="N5" s="1034"/>
      <c r="O5" s="1034"/>
      <c r="P5" s="1034"/>
      <c r="Q5" s="1034"/>
      <c r="R5" s="1034"/>
      <c r="S5" s="1034"/>
      <c r="T5" s="1034"/>
      <c r="U5" s="1034"/>
      <c r="V5" s="1034"/>
      <c r="W5" s="1034"/>
      <c r="X5" s="1034"/>
      <c r="Y5" s="1035"/>
      <c r="Z5" s="1018" t="s">
        <v>541</v>
      </c>
      <c r="AA5" s="1019"/>
      <c r="AB5" s="1019"/>
      <c r="AC5" s="1019"/>
      <c r="AD5" s="1019"/>
      <c r="AE5" s="1019"/>
      <c r="AF5" s="1019"/>
      <c r="AG5" s="1020"/>
      <c r="AH5" s="1018" t="s">
        <v>454</v>
      </c>
      <c r="AI5" s="1020"/>
    </row>
    <row r="6" spans="2:47" ht="15" customHeight="1" x14ac:dyDescent="0.25">
      <c r="C6" s="1010" t="s">
        <v>462</v>
      </c>
      <c r="D6" s="1024" t="s">
        <v>126</v>
      </c>
      <c r="E6" s="1027" t="s">
        <v>80</v>
      </c>
      <c r="F6" s="1027" t="s">
        <v>356</v>
      </c>
      <c r="G6" s="1027" t="s">
        <v>79</v>
      </c>
      <c r="H6" s="1027" t="s">
        <v>81</v>
      </c>
      <c r="I6" s="1027" t="s">
        <v>455</v>
      </c>
      <c r="J6" s="1030" t="s">
        <v>357</v>
      </c>
      <c r="K6" s="1030" t="s">
        <v>511</v>
      </c>
      <c r="L6" s="1011" t="s">
        <v>138</v>
      </c>
      <c r="M6" s="1012"/>
      <c r="N6" s="1012"/>
      <c r="O6" s="1012"/>
      <c r="P6" s="1012"/>
      <c r="Q6" s="1013"/>
      <c r="R6" s="1011" t="s">
        <v>433</v>
      </c>
      <c r="S6" s="1012"/>
      <c r="T6" s="1012"/>
      <c r="U6" s="1013"/>
      <c r="V6" s="1014" t="s">
        <v>434</v>
      </c>
      <c r="W6" s="1014"/>
      <c r="X6" s="1015" t="s">
        <v>435</v>
      </c>
      <c r="Y6" s="1015"/>
      <c r="Z6" s="1016" t="s">
        <v>138</v>
      </c>
      <c r="AA6" s="1017"/>
      <c r="AB6" s="1021" t="s">
        <v>130</v>
      </c>
      <c r="AC6" s="1023" t="s">
        <v>160</v>
      </c>
      <c r="AD6" s="1039" t="s">
        <v>436</v>
      </c>
      <c r="AE6" s="1041" t="s">
        <v>437</v>
      </c>
      <c r="AF6" s="1039" t="s">
        <v>438</v>
      </c>
      <c r="AG6" s="1039" t="s">
        <v>439</v>
      </c>
      <c r="AH6" s="1030" t="s">
        <v>512</v>
      </c>
      <c r="AI6" s="1037" t="s">
        <v>440</v>
      </c>
    </row>
    <row r="7" spans="2:47" x14ac:dyDescent="0.25">
      <c r="C7" s="1010"/>
      <c r="D7" s="1025"/>
      <c r="E7" s="1028"/>
      <c r="F7" s="1028"/>
      <c r="G7" s="1028"/>
      <c r="H7" s="1028"/>
      <c r="I7" s="1028"/>
      <c r="J7" s="1031"/>
      <c r="K7" s="1031"/>
      <c r="L7" s="1014" t="s">
        <v>441</v>
      </c>
      <c r="M7" s="1014"/>
      <c r="N7" s="1014" t="s">
        <v>442</v>
      </c>
      <c r="O7" s="1014"/>
      <c r="P7" s="1014" t="s">
        <v>443</v>
      </c>
      <c r="Q7" s="1014"/>
      <c r="R7" s="1040" t="s">
        <v>444</v>
      </c>
      <c r="S7" s="1040"/>
      <c r="T7" s="1040" t="s">
        <v>445</v>
      </c>
      <c r="U7" s="1040"/>
      <c r="V7" s="1040" t="s">
        <v>446</v>
      </c>
      <c r="W7" s="1040"/>
      <c r="X7" s="1015"/>
      <c r="Y7" s="1015"/>
      <c r="Z7" s="1036" t="s">
        <v>266</v>
      </c>
      <c r="AA7" s="1037" t="s">
        <v>447</v>
      </c>
      <c r="AB7" s="1022"/>
      <c r="AC7" s="1023"/>
      <c r="AD7" s="1039"/>
      <c r="AE7" s="1041"/>
      <c r="AF7" s="1039"/>
      <c r="AG7" s="1039"/>
      <c r="AH7" s="1031"/>
      <c r="AI7" s="1039"/>
    </row>
    <row r="8" spans="2:47" x14ac:dyDescent="0.25">
      <c r="C8" s="1010"/>
      <c r="D8" s="1026"/>
      <c r="E8" s="1029"/>
      <c r="F8" s="1029"/>
      <c r="G8" s="1029"/>
      <c r="H8" s="1029"/>
      <c r="I8" s="1029"/>
      <c r="J8" s="1032"/>
      <c r="K8" s="1032"/>
      <c r="L8" s="476" t="s">
        <v>448</v>
      </c>
      <c r="M8" s="476" t="s">
        <v>449</v>
      </c>
      <c r="N8" s="476" t="s">
        <v>10</v>
      </c>
      <c r="O8" s="476" t="s">
        <v>450</v>
      </c>
      <c r="P8" s="476" t="s">
        <v>10</v>
      </c>
      <c r="Q8" s="476" t="s">
        <v>450</v>
      </c>
      <c r="R8" s="476" t="s">
        <v>10</v>
      </c>
      <c r="S8" s="476" t="s">
        <v>450</v>
      </c>
      <c r="T8" s="476" t="s">
        <v>10</v>
      </c>
      <c r="U8" s="476" t="s">
        <v>450</v>
      </c>
      <c r="V8" s="476" t="s">
        <v>10</v>
      </c>
      <c r="W8" s="476" t="s">
        <v>450</v>
      </c>
      <c r="X8" s="477">
        <v>2025</v>
      </c>
      <c r="Y8" s="477">
        <v>2030</v>
      </c>
      <c r="Z8" s="1021"/>
      <c r="AA8" s="1038"/>
      <c r="AB8" s="1022"/>
      <c r="AC8" s="1017"/>
      <c r="AD8" s="1038"/>
      <c r="AE8" s="1042"/>
      <c r="AF8" s="1038"/>
      <c r="AG8" s="1038"/>
      <c r="AH8" s="1032"/>
      <c r="AI8" s="1038"/>
      <c r="AU8" s="126"/>
    </row>
    <row r="9" spans="2:47" x14ac:dyDescent="0.25">
      <c r="C9" s="475" t="s">
        <v>237</v>
      </c>
      <c r="D9" s="479">
        <v>50</v>
      </c>
      <c r="E9" s="479">
        <f>SUM(E10,E11,E12,E13,E14)</f>
        <v>4000</v>
      </c>
      <c r="F9" s="479">
        <f>SUM(F10,F11,F12,F13,F14)</f>
        <v>2612759.1980440002</v>
      </c>
      <c r="G9" s="479">
        <f>SUM(G10,G11,G12,G13,G14)</f>
        <v>141825</v>
      </c>
      <c r="H9" s="479">
        <f>SUM(H10,H11,H12,H13,H14)</f>
        <v>150000</v>
      </c>
      <c r="I9" s="479">
        <f>SUM(I10,I11,I12,I13,I14)</f>
        <v>2908584.1980440002</v>
      </c>
      <c r="J9" s="479">
        <f>J10</f>
        <v>171450</v>
      </c>
      <c r="K9" s="479">
        <v>2978142.8309783177</v>
      </c>
      <c r="L9" s="479">
        <f t="shared" ref="L9:AG9" si="0">SUM(L10,L11,L12,L13,L14)</f>
        <v>315.34906000000001</v>
      </c>
      <c r="M9" s="479">
        <f t="shared" si="0"/>
        <v>-45.683779999999999</v>
      </c>
      <c r="N9" s="479">
        <f t="shared" si="0"/>
        <v>193.77493470393702</v>
      </c>
      <c r="O9" s="479">
        <f t="shared" si="0"/>
        <v>6509.5440912286394</v>
      </c>
      <c r="P9" s="479">
        <f t="shared" si="0"/>
        <v>1288.504933129781</v>
      </c>
      <c r="Q9" s="479">
        <f t="shared" si="0"/>
        <v>37654.308177732579</v>
      </c>
      <c r="R9" s="479">
        <f t="shared" si="0"/>
        <v>1835.2418453491794</v>
      </c>
      <c r="S9" s="479">
        <f t="shared" si="0"/>
        <v>32446.963175509034</v>
      </c>
      <c r="T9" s="479">
        <f t="shared" si="0"/>
        <v>875.6644911905762</v>
      </c>
      <c r="U9" s="479">
        <f t="shared" si="0"/>
        <v>15510.222252526291</v>
      </c>
      <c r="V9" s="479">
        <f t="shared" si="0"/>
        <v>3999.4112696695361</v>
      </c>
      <c r="W9" s="479">
        <f t="shared" si="0"/>
        <v>85611.493605767901</v>
      </c>
      <c r="X9" s="479">
        <f t="shared" si="0"/>
        <v>236.12357985061729</v>
      </c>
      <c r="Y9" s="479">
        <f t="shared" si="0"/>
        <v>220.50958350042077</v>
      </c>
      <c r="Z9" s="479">
        <f t="shared" si="0"/>
        <v>3251198.0478337333</v>
      </c>
      <c r="AA9" s="479">
        <f t="shared" si="0"/>
        <v>778796.39249054075</v>
      </c>
      <c r="AB9" s="479">
        <f t="shared" si="0"/>
        <v>1184088.2589506647</v>
      </c>
      <c r="AC9" s="479">
        <f t="shared" si="0"/>
        <v>770172.21295027272</v>
      </c>
      <c r="AD9" s="479">
        <f t="shared" si="0"/>
        <v>5984254.912225211</v>
      </c>
      <c r="AE9" s="479">
        <f t="shared" si="0"/>
        <v>8268.699525824888</v>
      </c>
      <c r="AF9" s="479">
        <f t="shared" si="0"/>
        <v>5992523.6117510349</v>
      </c>
      <c r="AG9" s="479">
        <f t="shared" si="0"/>
        <v>855091.47536552325</v>
      </c>
      <c r="AH9" s="479">
        <f t="shared" ref="AH9:AH13" si="1">AF9-K9</f>
        <v>3014380.7807727172</v>
      </c>
      <c r="AI9" s="934">
        <f t="shared" ref="AI9:AI19" si="2">IFERROR(AF9/K9,"")</f>
        <v>2.0121679690501932</v>
      </c>
      <c r="AU9" s="126"/>
    </row>
    <row r="10" spans="2:47" x14ac:dyDescent="0.25">
      <c r="C10" s="566" t="s">
        <v>121</v>
      </c>
      <c r="D10" s="567">
        <v>50</v>
      </c>
      <c r="E10" s="567">
        <v>4000</v>
      </c>
      <c r="F10" s="567">
        <f>2612759.198044-F13-F12</f>
        <v>2435049.9999999977</v>
      </c>
      <c r="G10" s="567">
        <v>141825</v>
      </c>
      <c r="H10" s="567"/>
      <c r="I10" s="567">
        <f t="shared" ref="I10:I13" si="3">SUM(E10:H10)</f>
        <v>2580874.9999999977</v>
      </c>
      <c r="J10" s="567">
        <v>171450</v>
      </c>
      <c r="K10" s="567">
        <v>2662161.8012576331</v>
      </c>
      <c r="L10" s="567">
        <v>272.44906000000003</v>
      </c>
      <c r="M10" s="567">
        <v>-45.683779999999999</v>
      </c>
      <c r="N10" s="567">
        <v>194.20393470393702</v>
      </c>
      <c r="O10" s="567">
        <v>6509.9730912286395</v>
      </c>
      <c r="P10" s="567">
        <v>1291.9802054539598</v>
      </c>
      <c r="Q10" s="567">
        <v>37657.783450056755</v>
      </c>
      <c r="R10" s="567">
        <v>1835.2418453491794</v>
      </c>
      <c r="S10" s="567">
        <v>32446.963175509034</v>
      </c>
      <c r="T10" s="567">
        <v>875.6644911905762</v>
      </c>
      <c r="U10" s="567">
        <v>15510.222252526291</v>
      </c>
      <c r="V10" s="567">
        <v>4002.8865419937151</v>
      </c>
      <c r="W10" s="567">
        <v>85614.968878092084</v>
      </c>
      <c r="X10" s="567">
        <v>236.12357985061729</v>
      </c>
      <c r="Y10" s="567">
        <v>220.50958350042077</v>
      </c>
      <c r="Z10" s="567">
        <v>3229719.3859005701</v>
      </c>
      <c r="AA10" s="567">
        <v>778948.33027284825</v>
      </c>
      <c r="AB10" s="567">
        <v>1184088.2589506647</v>
      </c>
      <c r="AC10" s="567">
        <v>770172.21295027272</v>
      </c>
      <c r="AD10" s="567">
        <v>5962928.1880743559</v>
      </c>
      <c r="AE10" s="567">
        <v>8268.699525824888</v>
      </c>
      <c r="AF10" s="567">
        <v>5971196.8876001798</v>
      </c>
      <c r="AG10" s="567">
        <v>855272.57718571136</v>
      </c>
      <c r="AH10" s="567">
        <f t="shared" si="1"/>
        <v>3309035.0863425466</v>
      </c>
      <c r="AI10" s="935">
        <f t="shared" si="2"/>
        <v>2.2429879674403428</v>
      </c>
      <c r="AU10" s="126"/>
    </row>
    <row r="11" spans="2:47" x14ac:dyDescent="0.25">
      <c r="C11" s="566" t="s">
        <v>510</v>
      </c>
      <c r="D11" s="567">
        <v>0</v>
      </c>
      <c r="E11" s="567">
        <v>0</v>
      </c>
      <c r="F11" s="567">
        <v>0</v>
      </c>
      <c r="G11" s="567">
        <v>0</v>
      </c>
      <c r="H11" s="567">
        <v>0</v>
      </c>
      <c r="I11" s="567">
        <v>0</v>
      </c>
      <c r="J11" s="567">
        <v>0</v>
      </c>
      <c r="K11" s="567">
        <v>0</v>
      </c>
      <c r="L11" s="567">
        <v>0</v>
      </c>
      <c r="M11" s="567">
        <v>0</v>
      </c>
      <c r="N11" s="567">
        <v>0</v>
      </c>
      <c r="O11" s="567">
        <v>0</v>
      </c>
      <c r="P11" s="567">
        <v>0</v>
      </c>
      <c r="Q11" s="567">
        <v>0</v>
      </c>
      <c r="R11" s="567">
        <v>0</v>
      </c>
      <c r="S11" s="567">
        <v>0</v>
      </c>
      <c r="T11" s="567">
        <v>0</v>
      </c>
      <c r="U11" s="567">
        <v>0</v>
      </c>
      <c r="V11" s="567">
        <v>0</v>
      </c>
      <c r="W11" s="567">
        <v>0</v>
      </c>
      <c r="X11" s="567">
        <v>0</v>
      </c>
      <c r="Y11" s="567">
        <v>0</v>
      </c>
      <c r="Z11" s="567">
        <v>0</v>
      </c>
      <c r="AA11" s="567">
        <v>0</v>
      </c>
      <c r="AB11" s="567">
        <v>0</v>
      </c>
      <c r="AC11" s="567">
        <v>0</v>
      </c>
      <c r="AD11" s="567">
        <v>0</v>
      </c>
      <c r="AE11" s="567">
        <v>0</v>
      </c>
      <c r="AF11" s="567">
        <v>0</v>
      </c>
      <c r="AG11" s="567">
        <v>0</v>
      </c>
      <c r="AH11" s="567">
        <v>0</v>
      </c>
      <c r="AI11" s="935">
        <v>0</v>
      </c>
      <c r="AU11" s="126"/>
    </row>
    <row r="12" spans="2:47" x14ac:dyDescent="0.25">
      <c r="C12" s="566" t="s">
        <v>385</v>
      </c>
      <c r="D12" s="567">
        <v>10</v>
      </c>
      <c r="E12" s="567">
        <v>0</v>
      </c>
      <c r="F12" s="567">
        <v>3630</v>
      </c>
      <c r="G12" s="567">
        <v>0</v>
      </c>
      <c r="H12" s="567">
        <v>0</v>
      </c>
      <c r="I12" s="567">
        <f t="shared" si="3"/>
        <v>3630</v>
      </c>
      <c r="J12" s="567">
        <v>0</v>
      </c>
      <c r="K12" s="567">
        <v>3507.6888665417091</v>
      </c>
      <c r="L12" s="567">
        <v>42.899999999999991</v>
      </c>
      <c r="M12" s="567">
        <v>0</v>
      </c>
      <c r="N12" s="567">
        <v>-0.4290000000000006</v>
      </c>
      <c r="O12" s="567">
        <v>-0.4290000000000006</v>
      </c>
      <c r="P12" s="567">
        <v>-3.4752723241788588</v>
      </c>
      <c r="Q12" s="567">
        <v>-3.4752723241788588</v>
      </c>
      <c r="R12" s="567">
        <v>0</v>
      </c>
      <c r="S12" s="567">
        <v>0</v>
      </c>
      <c r="T12" s="567">
        <v>0</v>
      </c>
      <c r="U12" s="567">
        <v>0</v>
      </c>
      <c r="V12" s="567">
        <v>-3.4752723241788588</v>
      </c>
      <c r="W12" s="567">
        <v>-3.4752723241788588</v>
      </c>
      <c r="X12" s="567">
        <v>0</v>
      </c>
      <c r="Y12" s="567">
        <v>0</v>
      </c>
      <c r="Z12" s="567">
        <v>21478.661933162995</v>
      </c>
      <c r="AA12" s="567">
        <v>-151.93778230753077</v>
      </c>
      <c r="AB12" s="567">
        <v>0</v>
      </c>
      <c r="AC12" s="567">
        <v>0</v>
      </c>
      <c r="AD12" s="567">
        <v>21326.724150855465</v>
      </c>
      <c r="AE12" s="567">
        <v>0</v>
      </c>
      <c r="AF12" s="567">
        <v>21326.724150855465</v>
      </c>
      <c r="AG12" s="567">
        <v>-181.10182018815956</v>
      </c>
      <c r="AH12" s="567">
        <f t="shared" si="1"/>
        <v>17819.035284313755</v>
      </c>
      <c r="AI12" s="935">
        <f t="shared" si="2"/>
        <v>6.0799931129244795</v>
      </c>
      <c r="AU12" s="126"/>
    </row>
    <row r="13" spans="2:47" collapsed="1" x14ac:dyDescent="0.25">
      <c r="C13" s="566" t="s">
        <v>461</v>
      </c>
      <c r="D13" s="567">
        <v>20</v>
      </c>
      <c r="E13" s="567">
        <v>0</v>
      </c>
      <c r="F13" s="567">
        <v>174079.19804400261</v>
      </c>
      <c r="G13" s="567">
        <v>0</v>
      </c>
      <c r="H13" s="567">
        <v>0</v>
      </c>
      <c r="I13" s="567">
        <f t="shared" si="3"/>
        <v>174079.19804400261</v>
      </c>
      <c r="J13" s="567">
        <v>0</v>
      </c>
      <c r="K13" s="567">
        <v>168241.46769480611</v>
      </c>
      <c r="L13" s="567">
        <v>0</v>
      </c>
      <c r="M13" s="567">
        <v>0</v>
      </c>
      <c r="N13" s="567">
        <v>0</v>
      </c>
      <c r="O13" s="567">
        <v>0</v>
      </c>
      <c r="P13" s="567">
        <v>0</v>
      </c>
      <c r="Q13" s="567">
        <v>0</v>
      </c>
      <c r="R13" s="567">
        <v>0</v>
      </c>
      <c r="S13" s="567">
        <v>0</v>
      </c>
      <c r="T13" s="567">
        <v>0</v>
      </c>
      <c r="U13" s="567">
        <v>0</v>
      </c>
      <c r="V13" s="567">
        <v>0</v>
      </c>
      <c r="W13" s="567">
        <v>0</v>
      </c>
      <c r="X13" s="567">
        <v>0</v>
      </c>
      <c r="Y13" s="567">
        <v>0</v>
      </c>
      <c r="Z13" s="567">
        <v>0</v>
      </c>
      <c r="AA13" s="567">
        <v>0</v>
      </c>
      <c r="AB13" s="567">
        <v>0</v>
      </c>
      <c r="AC13" s="567">
        <v>0</v>
      </c>
      <c r="AD13" s="567">
        <v>0</v>
      </c>
      <c r="AE13" s="567">
        <v>0</v>
      </c>
      <c r="AF13" s="567">
        <v>0</v>
      </c>
      <c r="AG13" s="567">
        <v>0</v>
      </c>
      <c r="AH13" s="567">
        <f t="shared" si="1"/>
        <v>-168241.46769480611</v>
      </c>
      <c r="AI13" s="935">
        <f t="shared" si="2"/>
        <v>0</v>
      </c>
      <c r="AU13" s="126"/>
    </row>
    <row r="14" spans="2:47" x14ac:dyDescent="0.25">
      <c r="C14" s="566" t="s">
        <v>458</v>
      </c>
      <c r="D14" s="567">
        <v>0</v>
      </c>
      <c r="E14" s="567">
        <v>0</v>
      </c>
      <c r="F14" s="567">
        <v>0</v>
      </c>
      <c r="G14" s="567">
        <v>0</v>
      </c>
      <c r="H14" s="567">
        <v>150000</v>
      </c>
      <c r="I14" s="567">
        <f t="shared" ref="I14:I16" si="4">SUM(E14:H14)</f>
        <v>150000</v>
      </c>
      <c r="J14" s="567">
        <v>0</v>
      </c>
      <c r="K14" s="567">
        <v>144231.87315933689</v>
      </c>
      <c r="L14" s="567">
        <v>0</v>
      </c>
      <c r="M14" s="567">
        <v>0</v>
      </c>
      <c r="N14" s="567">
        <v>0</v>
      </c>
      <c r="O14" s="567">
        <v>0</v>
      </c>
      <c r="P14" s="567">
        <v>0</v>
      </c>
      <c r="Q14" s="567">
        <v>0</v>
      </c>
      <c r="R14" s="567">
        <v>0</v>
      </c>
      <c r="S14" s="567">
        <v>0</v>
      </c>
      <c r="T14" s="567">
        <v>0</v>
      </c>
      <c r="U14" s="567">
        <v>0</v>
      </c>
      <c r="V14" s="567">
        <v>0</v>
      </c>
      <c r="W14" s="567">
        <v>0</v>
      </c>
      <c r="X14" s="567">
        <v>0</v>
      </c>
      <c r="Y14" s="567">
        <v>0</v>
      </c>
      <c r="Z14" s="567">
        <v>0</v>
      </c>
      <c r="AA14" s="567">
        <v>0</v>
      </c>
      <c r="AB14" s="567">
        <v>0</v>
      </c>
      <c r="AC14" s="567">
        <v>0</v>
      </c>
      <c r="AD14" s="567">
        <f>SUM(Z14:AC14)</f>
        <v>0</v>
      </c>
      <c r="AE14" s="567">
        <v>0</v>
      </c>
      <c r="AF14" s="567">
        <v>0</v>
      </c>
      <c r="AG14" s="567">
        <v>0</v>
      </c>
      <c r="AH14" s="567">
        <f>AF14-K14</f>
        <v>-144231.87315933689</v>
      </c>
      <c r="AI14" s="935">
        <f t="shared" si="2"/>
        <v>0</v>
      </c>
      <c r="AU14" s="126"/>
    </row>
    <row r="15" spans="2:47" x14ac:dyDescent="0.25">
      <c r="C15" s="475" t="s">
        <v>238</v>
      </c>
      <c r="D15" s="479">
        <f>D16</f>
        <v>50</v>
      </c>
      <c r="E15" s="479">
        <f>SUM(E16:E18)</f>
        <v>2000</v>
      </c>
      <c r="F15" s="479">
        <f t="shared" ref="F15:AH15" si="5">SUM(F16:F18)</f>
        <v>2859750</v>
      </c>
      <c r="G15" s="479">
        <f t="shared" si="5"/>
        <v>191175</v>
      </c>
      <c r="H15" s="479">
        <f t="shared" si="5"/>
        <v>150000</v>
      </c>
      <c r="I15" s="479">
        <f t="shared" si="5"/>
        <v>3202925</v>
      </c>
      <c r="J15" s="479">
        <f t="shared" si="5"/>
        <v>0</v>
      </c>
      <c r="K15" s="479">
        <v>3097309.651043098</v>
      </c>
      <c r="L15" s="479">
        <f t="shared" si="5"/>
        <v>334.02621400828286</v>
      </c>
      <c r="M15" s="479">
        <f t="shared" si="5"/>
        <v>-38.591509322043819</v>
      </c>
      <c r="N15" s="479">
        <f t="shared" si="5"/>
        <v>235.31300000000002</v>
      </c>
      <c r="O15" s="479">
        <f t="shared" si="5"/>
        <v>7235.2040000000006</v>
      </c>
      <c r="P15" s="479">
        <f t="shared" si="5"/>
        <v>1560.8317823739974</v>
      </c>
      <c r="Q15" s="479">
        <f t="shared" si="5"/>
        <v>41902.623490728118</v>
      </c>
      <c r="R15" s="479">
        <f t="shared" si="5"/>
        <v>1820.6540826352077</v>
      </c>
      <c r="S15" s="479">
        <f t="shared" si="5"/>
        <v>32268.296309625577</v>
      </c>
      <c r="T15" s="479">
        <f t="shared" si="5"/>
        <v>875.6644911905762</v>
      </c>
      <c r="U15" s="479">
        <f t="shared" si="5"/>
        <v>15510.222252526291</v>
      </c>
      <c r="V15" s="479">
        <f t="shared" si="5"/>
        <v>4257.1503561997806</v>
      </c>
      <c r="W15" s="479">
        <f t="shared" si="5"/>
        <v>89681.142052879979</v>
      </c>
      <c r="X15" s="479">
        <f t="shared" si="5"/>
        <v>242.76234523021765</v>
      </c>
      <c r="Y15" s="479">
        <f t="shared" si="5"/>
        <v>223.79807563021765</v>
      </c>
      <c r="Z15" s="479">
        <f t="shared" si="5"/>
        <v>3304914.2111546248</v>
      </c>
      <c r="AA15" s="479">
        <f t="shared" si="5"/>
        <v>872080.87997016439</v>
      </c>
      <c r="AB15" s="479">
        <f t="shared" si="5"/>
        <v>1177224.8844072612</v>
      </c>
      <c r="AC15" s="479">
        <f t="shared" si="5"/>
        <v>770614.02272881987</v>
      </c>
      <c r="AD15" s="479">
        <f t="shared" si="5"/>
        <v>6124833.9982608706</v>
      </c>
      <c r="AE15" s="479">
        <f t="shared" si="5"/>
        <v>457020.97883192904</v>
      </c>
      <c r="AF15" s="479">
        <f t="shared" si="5"/>
        <v>6581854.9770927988</v>
      </c>
      <c r="AG15" s="479">
        <f t="shared" si="5"/>
        <v>889035.63786838588</v>
      </c>
      <c r="AH15" s="479">
        <f t="shared" si="5"/>
        <v>3484545.3260497008</v>
      </c>
      <c r="AI15" s="934">
        <f t="shared" si="2"/>
        <v>2.1250232358512142</v>
      </c>
      <c r="AU15" s="126"/>
    </row>
    <row r="16" spans="2:47" x14ac:dyDescent="0.25">
      <c r="C16" s="566" t="s">
        <v>122</v>
      </c>
      <c r="D16" s="567">
        <v>50</v>
      </c>
      <c r="E16" s="567">
        <v>2000</v>
      </c>
      <c r="F16" s="567">
        <v>2859750</v>
      </c>
      <c r="G16" s="567">
        <v>191175</v>
      </c>
      <c r="H16" s="567">
        <v>0</v>
      </c>
      <c r="I16" s="567">
        <f t="shared" si="4"/>
        <v>3052925</v>
      </c>
      <c r="J16" s="567">
        <v>0</v>
      </c>
      <c r="K16" s="567">
        <v>2953077.7778837611</v>
      </c>
      <c r="L16" s="567">
        <v>277.92621400828284</v>
      </c>
      <c r="M16" s="567">
        <v>-38.591509322043819</v>
      </c>
      <c r="N16" s="567">
        <v>235.87400000000002</v>
      </c>
      <c r="O16" s="567">
        <v>7235.7650000000003</v>
      </c>
      <c r="P16" s="567">
        <v>1565.3801026506026</v>
      </c>
      <c r="Q16" s="567">
        <v>41907.171811004722</v>
      </c>
      <c r="R16" s="567">
        <v>1820.6540826352077</v>
      </c>
      <c r="S16" s="567">
        <v>32268.296309625577</v>
      </c>
      <c r="T16" s="567">
        <v>875.6644911905762</v>
      </c>
      <c r="U16" s="567">
        <v>15510.222252526291</v>
      </c>
      <c r="V16" s="567">
        <v>4261.698676476386</v>
      </c>
      <c r="W16" s="567">
        <v>89685.690373156584</v>
      </c>
      <c r="X16" s="567">
        <v>242.76234523021765</v>
      </c>
      <c r="Y16" s="567">
        <v>223.79807563021765</v>
      </c>
      <c r="Z16" s="567">
        <v>3276827.4599958793</v>
      </c>
      <c r="AA16" s="567">
        <v>872279.7591387945</v>
      </c>
      <c r="AB16" s="567">
        <v>1177224.8844072612</v>
      </c>
      <c r="AC16" s="567">
        <v>770614.02272881987</v>
      </c>
      <c r="AD16" s="567">
        <v>6096946.1262707552</v>
      </c>
      <c r="AE16" s="567">
        <v>457020.97883192904</v>
      </c>
      <c r="AF16" s="567">
        <v>6553967.1051026834</v>
      </c>
      <c r="AG16" s="567">
        <v>889272.6325178789</v>
      </c>
      <c r="AH16" s="567">
        <f t="shared" ref="AH16:AH19" si="6">AF16-K16</f>
        <v>3600889.3272189223</v>
      </c>
      <c r="AI16" s="935">
        <f t="shared" si="2"/>
        <v>2.2193682652677698</v>
      </c>
      <c r="AU16" s="126"/>
    </row>
    <row r="17" spans="3:47" x14ac:dyDescent="0.25">
      <c r="C17" s="566" t="s">
        <v>386</v>
      </c>
      <c r="D17" s="567">
        <v>13</v>
      </c>
      <c r="E17" s="851">
        <v>0</v>
      </c>
      <c r="F17" s="851">
        <v>0</v>
      </c>
      <c r="G17" s="851">
        <v>0</v>
      </c>
      <c r="H17" s="851">
        <v>0</v>
      </c>
      <c r="I17" s="567">
        <v>0</v>
      </c>
      <c r="J17" s="567">
        <v>0</v>
      </c>
      <c r="K17" s="567">
        <v>0</v>
      </c>
      <c r="L17" s="567">
        <v>56.099999999999994</v>
      </c>
      <c r="M17" s="567">
        <v>0</v>
      </c>
      <c r="N17" s="567">
        <v>-0.56100000000000128</v>
      </c>
      <c r="O17" s="567">
        <v>-0.56100000000000128</v>
      </c>
      <c r="P17" s="567">
        <v>-4.5483202766050734</v>
      </c>
      <c r="Q17" s="567">
        <v>-4.5483202766050734</v>
      </c>
      <c r="R17" s="567">
        <v>0</v>
      </c>
      <c r="S17" s="567">
        <v>0</v>
      </c>
      <c r="T17" s="567">
        <v>0</v>
      </c>
      <c r="U17" s="567">
        <v>0</v>
      </c>
      <c r="V17" s="567">
        <v>-4.5483202766050734</v>
      </c>
      <c r="W17" s="567">
        <v>-4.5483202766050734</v>
      </c>
      <c r="X17" s="567">
        <v>0</v>
      </c>
      <c r="Y17" s="567">
        <v>0</v>
      </c>
      <c r="Z17" s="567">
        <v>28086.751158745625</v>
      </c>
      <c r="AA17" s="567">
        <v>-198.87916863007561</v>
      </c>
      <c r="AB17" s="567">
        <v>0</v>
      </c>
      <c r="AC17" s="567">
        <v>0</v>
      </c>
      <c r="AD17" s="567">
        <v>27887.871990115545</v>
      </c>
      <c r="AE17" s="567">
        <v>0</v>
      </c>
      <c r="AF17" s="567">
        <v>27887.871990115545</v>
      </c>
      <c r="AG17" s="567">
        <v>-236.99464949300798</v>
      </c>
      <c r="AH17" s="567">
        <f t="shared" si="6"/>
        <v>27887.871990115545</v>
      </c>
      <c r="AI17" s="935" t="str">
        <f t="shared" si="2"/>
        <v/>
      </c>
      <c r="AU17" s="126"/>
    </row>
    <row r="18" spans="3:47" x14ac:dyDescent="0.25">
      <c r="C18" s="566" t="s">
        <v>459</v>
      </c>
      <c r="D18" s="567">
        <v>0</v>
      </c>
      <c r="E18" s="567">
        <v>0</v>
      </c>
      <c r="F18" s="567">
        <v>0</v>
      </c>
      <c r="G18" s="567">
        <v>0</v>
      </c>
      <c r="H18" s="567">
        <v>150000</v>
      </c>
      <c r="I18" s="567">
        <f t="shared" ref="I18" si="7">SUM(E18:H18)</f>
        <v>150000</v>
      </c>
      <c r="J18" s="567">
        <v>0</v>
      </c>
      <c r="K18" s="567">
        <v>144231.87315933689</v>
      </c>
      <c r="L18" s="567">
        <v>0</v>
      </c>
      <c r="M18" s="567">
        <v>0</v>
      </c>
      <c r="N18" s="567">
        <v>0</v>
      </c>
      <c r="O18" s="567">
        <v>0</v>
      </c>
      <c r="P18" s="567">
        <v>0</v>
      </c>
      <c r="Q18" s="567">
        <v>0</v>
      </c>
      <c r="R18" s="567">
        <v>0</v>
      </c>
      <c r="S18" s="567">
        <v>0</v>
      </c>
      <c r="T18" s="567">
        <v>0</v>
      </c>
      <c r="U18" s="567">
        <v>0</v>
      </c>
      <c r="V18" s="567">
        <v>0</v>
      </c>
      <c r="W18" s="567">
        <v>0</v>
      </c>
      <c r="X18" s="567">
        <v>0</v>
      </c>
      <c r="Y18" s="567">
        <v>0</v>
      </c>
      <c r="Z18" s="567">
        <v>0</v>
      </c>
      <c r="AA18" s="567">
        <v>0</v>
      </c>
      <c r="AB18" s="567">
        <v>0</v>
      </c>
      <c r="AC18" s="567">
        <v>0</v>
      </c>
      <c r="AD18" s="567">
        <f>SUM(Z18:AC18)</f>
        <v>0</v>
      </c>
      <c r="AE18" s="567">
        <v>0</v>
      </c>
      <c r="AF18" s="567">
        <f t="shared" ref="AF18" si="8">SUM(Z18:AD18)</f>
        <v>0</v>
      </c>
      <c r="AG18" s="567">
        <v>0</v>
      </c>
      <c r="AH18" s="567">
        <f t="shared" si="6"/>
        <v>-144231.87315933689</v>
      </c>
      <c r="AI18" s="935">
        <f t="shared" si="2"/>
        <v>0</v>
      </c>
      <c r="AU18" s="126"/>
    </row>
    <row r="19" spans="3:47" x14ac:dyDescent="0.25">
      <c r="C19" s="475" t="s">
        <v>124</v>
      </c>
      <c r="D19" s="479">
        <f t="shared" ref="D19:AG19" si="9">SUM(D15,D9)</f>
        <v>100</v>
      </c>
      <c r="E19" s="479">
        <f t="shared" si="9"/>
        <v>6000</v>
      </c>
      <c r="F19" s="479">
        <f t="shared" si="9"/>
        <v>5472509.1980440002</v>
      </c>
      <c r="G19" s="479">
        <f t="shared" si="9"/>
        <v>333000</v>
      </c>
      <c r="H19" s="479">
        <f t="shared" si="9"/>
        <v>300000</v>
      </c>
      <c r="I19" s="479">
        <f t="shared" si="9"/>
        <v>6111509.1980440002</v>
      </c>
      <c r="J19" s="479">
        <f t="shared" si="9"/>
        <v>171450</v>
      </c>
      <c r="K19" s="479">
        <f>SUM(K15,K9)</f>
        <v>6075452.4820214156</v>
      </c>
      <c r="L19" s="479">
        <f t="shared" si="9"/>
        <v>649.37527400828287</v>
      </c>
      <c r="M19" s="479">
        <f t="shared" si="9"/>
        <v>-84.275289322043818</v>
      </c>
      <c r="N19" s="479">
        <f t="shared" si="9"/>
        <v>429.08793470393704</v>
      </c>
      <c r="O19" s="479">
        <f t="shared" si="9"/>
        <v>13744.748091228641</v>
      </c>
      <c r="P19" s="479">
        <f t="shared" si="9"/>
        <v>2849.3367155037786</v>
      </c>
      <c r="Q19" s="479">
        <f t="shared" si="9"/>
        <v>79556.931668460689</v>
      </c>
      <c r="R19" s="479">
        <f t="shared" si="9"/>
        <v>3655.8959279843871</v>
      </c>
      <c r="S19" s="479">
        <f t="shared" si="9"/>
        <v>64715.259485134608</v>
      </c>
      <c r="T19" s="479">
        <f t="shared" si="9"/>
        <v>1751.3289823811524</v>
      </c>
      <c r="U19" s="479">
        <f t="shared" si="9"/>
        <v>31020.444505052583</v>
      </c>
      <c r="V19" s="479">
        <f t="shared" si="9"/>
        <v>8256.5616258693171</v>
      </c>
      <c r="W19" s="479">
        <f t="shared" si="9"/>
        <v>175292.63565864787</v>
      </c>
      <c r="X19" s="479">
        <f t="shared" si="9"/>
        <v>478.88592508083491</v>
      </c>
      <c r="Y19" s="479">
        <f t="shared" si="9"/>
        <v>444.3076591306384</v>
      </c>
      <c r="Z19" s="479">
        <f t="shared" si="9"/>
        <v>6556112.2589883581</v>
      </c>
      <c r="AA19" s="479">
        <f t="shared" si="9"/>
        <v>1650877.2724607051</v>
      </c>
      <c r="AB19" s="479">
        <f t="shared" si="9"/>
        <v>2361313.143357926</v>
      </c>
      <c r="AC19" s="479">
        <f t="shared" si="9"/>
        <v>1540786.2356790926</v>
      </c>
      <c r="AD19" s="479">
        <f t="shared" si="9"/>
        <v>12109088.910486082</v>
      </c>
      <c r="AE19" s="479">
        <f t="shared" si="9"/>
        <v>465289.6783577539</v>
      </c>
      <c r="AF19" s="479">
        <f t="shared" si="9"/>
        <v>12574378.588843834</v>
      </c>
      <c r="AG19" s="479">
        <f t="shared" si="9"/>
        <v>1744127.113233909</v>
      </c>
      <c r="AH19" s="479">
        <f t="shared" si="6"/>
        <v>6498926.106822418</v>
      </c>
      <c r="AI19" s="934">
        <f t="shared" si="2"/>
        <v>2.0697024009411895</v>
      </c>
      <c r="AU19" s="126"/>
    </row>
    <row r="20" spans="3:47" x14ac:dyDescent="0.25">
      <c r="AU20" s="126"/>
    </row>
    <row r="21" spans="3:47" ht="15.75" x14ac:dyDescent="0.25">
      <c r="C21" s="478" t="s">
        <v>457</v>
      </c>
      <c r="D21" s="474" t="s">
        <v>466</v>
      </c>
      <c r="E21" s="1018" t="s">
        <v>467</v>
      </c>
      <c r="F21" s="1019"/>
      <c r="G21" s="1019"/>
      <c r="H21" s="1019"/>
      <c r="I21" s="1019"/>
      <c r="J21" s="1019"/>
      <c r="K21" s="1020"/>
      <c r="L21" s="1033" t="s">
        <v>468</v>
      </c>
      <c r="M21" s="1034"/>
      <c r="N21" s="1034"/>
      <c r="O21" s="1034"/>
      <c r="P21" s="1034"/>
      <c r="Q21" s="1034"/>
      <c r="R21" s="1034"/>
      <c r="S21" s="1034"/>
      <c r="T21" s="1034"/>
      <c r="U21" s="1034"/>
      <c r="V21" s="1034"/>
      <c r="W21" s="1034"/>
      <c r="X21" s="1034"/>
      <c r="Y21" s="1035"/>
      <c r="Z21" s="1018" t="s">
        <v>540</v>
      </c>
      <c r="AA21" s="1019"/>
      <c r="AB21" s="1019"/>
      <c r="AC21" s="1019"/>
      <c r="AD21" s="1019"/>
      <c r="AE21" s="1019"/>
      <c r="AF21" s="1019"/>
      <c r="AG21" s="1020"/>
      <c r="AH21" s="1018" t="s">
        <v>513</v>
      </c>
      <c r="AI21" s="1020"/>
      <c r="AU21" s="126"/>
    </row>
    <row r="22" spans="3:47" x14ac:dyDescent="0.25">
      <c r="C22" s="1010" t="s">
        <v>462</v>
      </c>
      <c r="D22" s="1024" t="s">
        <v>126</v>
      </c>
      <c r="E22" s="1027" t="s">
        <v>80</v>
      </c>
      <c r="F22" s="1027" t="s">
        <v>356</v>
      </c>
      <c r="G22" s="1027" t="s">
        <v>79</v>
      </c>
      <c r="H22" s="1027" t="s">
        <v>81</v>
      </c>
      <c r="I22" s="1027" t="s">
        <v>455</v>
      </c>
      <c r="J22" s="1030" t="s">
        <v>357</v>
      </c>
      <c r="K22" s="1030" t="s">
        <v>511</v>
      </c>
      <c r="L22" s="1011" t="s">
        <v>138</v>
      </c>
      <c r="M22" s="1012"/>
      <c r="N22" s="1012"/>
      <c r="O22" s="1012"/>
      <c r="P22" s="1012"/>
      <c r="Q22" s="1013"/>
      <c r="R22" s="1011" t="s">
        <v>433</v>
      </c>
      <c r="S22" s="1012"/>
      <c r="T22" s="1012"/>
      <c r="U22" s="1013"/>
      <c r="V22" s="1014" t="s">
        <v>434</v>
      </c>
      <c r="W22" s="1014"/>
      <c r="X22" s="1015" t="s">
        <v>435</v>
      </c>
      <c r="Y22" s="1015"/>
      <c r="Z22" s="1016" t="s">
        <v>138</v>
      </c>
      <c r="AA22" s="1017"/>
      <c r="AB22" s="1021" t="s">
        <v>130</v>
      </c>
      <c r="AC22" s="1023" t="s">
        <v>160</v>
      </c>
      <c r="AD22" s="1039" t="s">
        <v>436</v>
      </c>
      <c r="AE22" s="1041" t="s">
        <v>437</v>
      </c>
      <c r="AF22" s="1039" t="s">
        <v>438</v>
      </c>
      <c r="AG22" s="1039" t="s">
        <v>439</v>
      </c>
      <c r="AH22" s="1030" t="s">
        <v>512</v>
      </c>
      <c r="AI22" s="1037" t="s">
        <v>440</v>
      </c>
      <c r="AU22" s="126"/>
    </row>
    <row r="23" spans="3:47" x14ac:dyDescent="0.25">
      <c r="C23" s="1010"/>
      <c r="D23" s="1025"/>
      <c r="E23" s="1028"/>
      <c r="F23" s="1028"/>
      <c r="G23" s="1028"/>
      <c r="H23" s="1028"/>
      <c r="I23" s="1028"/>
      <c r="J23" s="1031"/>
      <c r="K23" s="1031"/>
      <c r="L23" s="1014" t="s">
        <v>441</v>
      </c>
      <c r="M23" s="1014"/>
      <c r="N23" s="1014" t="s">
        <v>442</v>
      </c>
      <c r="O23" s="1014"/>
      <c r="P23" s="1014" t="s">
        <v>443</v>
      </c>
      <c r="Q23" s="1014"/>
      <c r="R23" s="1040" t="s">
        <v>444</v>
      </c>
      <c r="S23" s="1040"/>
      <c r="T23" s="1040" t="s">
        <v>445</v>
      </c>
      <c r="U23" s="1040"/>
      <c r="V23" s="1040" t="s">
        <v>446</v>
      </c>
      <c r="W23" s="1040"/>
      <c r="X23" s="1015"/>
      <c r="Y23" s="1015"/>
      <c r="Z23" s="1036" t="s">
        <v>266</v>
      </c>
      <c r="AA23" s="1037" t="s">
        <v>447</v>
      </c>
      <c r="AB23" s="1022"/>
      <c r="AC23" s="1023"/>
      <c r="AD23" s="1039"/>
      <c r="AE23" s="1041"/>
      <c r="AF23" s="1039"/>
      <c r="AG23" s="1039"/>
      <c r="AH23" s="1031"/>
      <c r="AI23" s="1039"/>
      <c r="AU23" s="126"/>
    </row>
    <row r="24" spans="3:47" x14ac:dyDescent="0.25">
      <c r="C24" s="1010"/>
      <c r="D24" s="1026"/>
      <c r="E24" s="1029"/>
      <c r="F24" s="1029"/>
      <c r="G24" s="1029"/>
      <c r="H24" s="1029"/>
      <c r="I24" s="1029"/>
      <c r="J24" s="1032"/>
      <c r="K24" s="1032"/>
      <c r="L24" s="476" t="s">
        <v>448</v>
      </c>
      <c r="M24" s="476" t="s">
        <v>449</v>
      </c>
      <c r="N24" s="476" t="s">
        <v>10</v>
      </c>
      <c r="O24" s="476" t="s">
        <v>450</v>
      </c>
      <c r="P24" s="476" t="s">
        <v>10</v>
      </c>
      <c r="Q24" s="476" t="s">
        <v>450</v>
      </c>
      <c r="R24" s="476" t="s">
        <v>10</v>
      </c>
      <c r="S24" s="476" t="s">
        <v>450</v>
      </c>
      <c r="T24" s="476" t="s">
        <v>10</v>
      </c>
      <c r="U24" s="476" t="s">
        <v>450</v>
      </c>
      <c r="V24" s="476" t="s">
        <v>10</v>
      </c>
      <c r="W24" s="476" t="s">
        <v>450</v>
      </c>
      <c r="X24" s="477">
        <v>2025</v>
      </c>
      <c r="Y24" s="477">
        <v>2030</v>
      </c>
      <c r="Z24" s="1021"/>
      <c r="AA24" s="1038"/>
      <c r="AB24" s="1022"/>
      <c r="AC24" s="1017"/>
      <c r="AD24" s="1038"/>
      <c r="AE24" s="1042"/>
      <c r="AF24" s="1038"/>
      <c r="AG24" s="1038"/>
      <c r="AH24" s="1032"/>
      <c r="AI24" s="1038"/>
      <c r="AU24" s="126"/>
    </row>
    <row r="25" spans="3:47" x14ac:dyDescent="0.25">
      <c r="C25" s="475" t="s">
        <v>237</v>
      </c>
      <c r="D25" s="479">
        <f>D26</f>
        <v>16</v>
      </c>
      <c r="E25" s="479">
        <f>SUM(E26,E27,E28,E29,E30)</f>
        <v>0</v>
      </c>
      <c r="F25" s="479">
        <f>SUM(F26,F27,F28,F29,F30)</f>
        <v>1475532.93</v>
      </c>
      <c r="G25" s="479">
        <f>SUM(G26,G27,G28,G29,G30)</f>
        <v>216595.71999999997</v>
      </c>
      <c r="H25" s="479">
        <f>SUM(H26,H27,H28,H29,H30)</f>
        <v>238762.04200000002</v>
      </c>
      <c r="I25" s="479">
        <f>SUM(I26,I27,I28,I29,I30)</f>
        <v>1930890.6919999998</v>
      </c>
      <c r="J25" s="479">
        <f>J26</f>
        <v>0</v>
      </c>
      <c r="K25" s="479">
        <f t="shared" ref="K25:AG25" si="10">SUM(K26,K27,K28,K29,K30)</f>
        <v>1857118.7256394767</v>
      </c>
      <c r="L25" s="479">
        <f t="shared" si="10"/>
        <v>102.78561500000001</v>
      </c>
      <c r="M25" s="479">
        <f t="shared" si="10"/>
        <v>-23.167995000000005</v>
      </c>
      <c r="N25" s="479">
        <f t="shared" si="10"/>
        <v>25.551100000000005</v>
      </c>
      <c r="O25" s="479">
        <f t="shared" si="10"/>
        <v>1313.7168000000001</v>
      </c>
      <c r="P25" s="479">
        <f t="shared" si="10"/>
        <v>170.57780700250783</v>
      </c>
      <c r="Q25" s="479">
        <f t="shared" si="10"/>
        <v>7573.1524634512134</v>
      </c>
      <c r="R25" s="479">
        <f t="shared" si="10"/>
        <v>251.47199999999995</v>
      </c>
      <c r="S25" s="479">
        <f t="shared" si="10"/>
        <v>4526.4959999999992</v>
      </c>
      <c r="T25" s="479">
        <f t="shared" si="10"/>
        <v>647.30199999999991</v>
      </c>
      <c r="U25" s="479">
        <f t="shared" si="10"/>
        <v>11651.435999999998</v>
      </c>
      <c r="V25" s="479">
        <f t="shared" si="10"/>
        <v>1069.3518070025077</v>
      </c>
      <c r="W25" s="479">
        <f t="shared" si="10"/>
        <v>23751.08446345121</v>
      </c>
      <c r="X25" s="479">
        <f t="shared" si="10"/>
        <v>65.414316609999986</v>
      </c>
      <c r="Y25" s="479">
        <f t="shared" si="10"/>
        <v>63.360008169999986</v>
      </c>
      <c r="Z25" s="479">
        <f t="shared" si="10"/>
        <v>1053404.7603083318</v>
      </c>
      <c r="AA25" s="479">
        <f t="shared" si="10"/>
        <v>152094.45246823761</v>
      </c>
      <c r="AB25" s="479">
        <f t="shared" si="10"/>
        <v>165878.97934337083</v>
      </c>
      <c r="AC25" s="479">
        <f t="shared" si="10"/>
        <v>580287.58775977057</v>
      </c>
      <c r="AD25" s="479">
        <f t="shared" si="10"/>
        <v>1951665.7798797109</v>
      </c>
      <c r="AE25" s="479">
        <f t="shared" si="10"/>
        <v>1044.7871931290829</v>
      </c>
      <c r="AF25" s="479">
        <f t="shared" si="10"/>
        <v>1952710.5670728399</v>
      </c>
      <c r="AG25" s="479">
        <f t="shared" si="10"/>
        <v>235060.43705592863</v>
      </c>
      <c r="AH25" s="479">
        <f>AF25-K25</f>
        <v>95591.841433363268</v>
      </c>
      <c r="AI25" s="934">
        <f t="shared" ref="AI25:AI35" si="11">IFERROR(AF25/K25,"")</f>
        <v>1.0514731988394803</v>
      </c>
      <c r="AU25" s="126"/>
    </row>
    <row r="26" spans="3:47" x14ac:dyDescent="0.25">
      <c r="C26" s="566" t="s">
        <v>121</v>
      </c>
      <c r="D26" s="567">
        <f>Summary!L18</f>
        <v>16</v>
      </c>
      <c r="E26" s="567">
        <f>Budget!C8+Budget!C9+Budget!C10</f>
        <v>0</v>
      </c>
      <c r="F26" s="567">
        <f>Budget!D8+Budget!D9+Budget!D10</f>
        <v>1438511.4</v>
      </c>
      <c r="G26" s="567">
        <f>Budget!E8+Budget!E9+Budget!E10</f>
        <v>216385.71999999997</v>
      </c>
      <c r="H26" s="567">
        <f>Budget!F8+Budget!F9+Budget!F10</f>
        <v>0</v>
      </c>
      <c r="I26" s="567">
        <f t="shared" ref="I26:I29" si="12">SUM(E26:H26)</f>
        <v>1654897.1199999999</v>
      </c>
      <c r="J26" s="567">
        <v>0</v>
      </c>
      <c r="K26" s="567">
        <f>SUM(I26:J26)/(1+Inputs!$E$110)^2</f>
        <v>1591259.4100239458</v>
      </c>
      <c r="L26" s="567">
        <v>87.785615000000007</v>
      </c>
      <c r="M26" s="567">
        <v>-23.167995000000005</v>
      </c>
      <c r="N26" s="567">
        <v>25.551100000000005</v>
      </c>
      <c r="O26" s="567">
        <v>1313.7168000000001</v>
      </c>
      <c r="P26" s="567">
        <v>170.57780700250783</v>
      </c>
      <c r="Q26" s="567">
        <v>7573.1524634512134</v>
      </c>
      <c r="R26" s="567">
        <v>251.47199999999995</v>
      </c>
      <c r="S26" s="567">
        <v>4526.4959999999992</v>
      </c>
      <c r="T26" s="567">
        <v>647.30199999999991</v>
      </c>
      <c r="U26" s="567">
        <v>11651.435999999998</v>
      </c>
      <c r="V26" s="567">
        <v>1069.3518070025077</v>
      </c>
      <c r="W26" s="567">
        <v>23751.08446345121</v>
      </c>
      <c r="X26" s="567">
        <v>65.414316609999986</v>
      </c>
      <c r="Y26" s="567">
        <v>63.360008169999986</v>
      </c>
      <c r="Z26" s="567">
        <v>1045128.7010250108</v>
      </c>
      <c r="AA26" s="567">
        <v>152094.45246823761</v>
      </c>
      <c r="AB26" s="567">
        <v>165878.97934337083</v>
      </c>
      <c r="AC26" s="567">
        <v>580287.58775977057</v>
      </c>
      <c r="AD26" s="567">
        <v>1943389.7205963898</v>
      </c>
      <c r="AE26" s="567">
        <v>0</v>
      </c>
      <c r="AF26" s="567">
        <v>1943389.7205963898</v>
      </c>
      <c r="AG26" s="567">
        <v>235060.43705592863</v>
      </c>
      <c r="AH26" s="567">
        <f t="shared" ref="AH26:AH35" si="13">AF26-K26</f>
        <v>352130.310572444</v>
      </c>
      <c r="AI26" s="935">
        <f t="shared" si="11"/>
        <v>1.2212903241006725</v>
      </c>
      <c r="AU26" s="126"/>
    </row>
    <row r="27" spans="3:47" collapsed="1" x14ac:dyDescent="0.25">
      <c r="C27" s="566" t="s">
        <v>510</v>
      </c>
      <c r="D27" s="567">
        <f>Summary!U21</f>
        <v>8</v>
      </c>
      <c r="E27" s="567">
        <f>Budget!C11+Budget!C18+Budget!C23</f>
        <v>0</v>
      </c>
      <c r="F27" s="567">
        <f>Budget!D11+Budget!D18+Budget!D23</f>
        <v>8879.99</v>
      </c>
      <c r="G27" s="567">
        <f>Budget!E11+Budget!E18+Budget!E23</f>
        <v>0</v>
      </c>
      <c r="H27" s="567">
        <f>Budget!F11+Budget!F18+Budget!F23</f>
        <v>0</v>
      </c>
      <c r="I27" s="567">
        <f t="shared" si="12"/>
        <v>8879.99</v>
      </c>
      <c r="J27" s="567">
        <v>498</v>
      </c>
      <c r="K27" s="567">
        <f>SUM(I27:J27)/(1+Inputs!$E$110)^2</f>
        <v>9017.3670944635305</v>
      </c>
      <c r="L27" s="567">
        <v>0</v>
      </c>
      <c r="M27" s="567">
        <v>0</v>
      </c>
      <c r="N27" s="567">
        <v>0</v>
      </c>
      <c r="O27" s="567">
        <v>0</v>
      </c>
      <c r="P27" s="567">
        <v>0</v>
      </c>
      <c r="Q27" s="567">
        <v>0</v>
      </c>
      <c r="R27" s="567">
        <v>0</v>
      </c>
      <c r="S27" s="567">
        <v>0</v>
      </c>
      <c r="T27" s="567">
        <v>0</v>
      </c>
      <c r="U27" s="567">
        <v>0</v>
      </c>
      <c r="V27" s="567">
        <v>0</v>
      </c>
      <c r="W27" s="567">
        <v>0</v>
      </c>
      <c r="X27" s="567">
        <v>0</v>
      </c>
      <c r="Y27" s="567">
        <v>0</v>
      </c>
      <c r="Z27" s="567">
        <v>0</v>
      </c>
      <c r="AA27" s="567">
        <v>0</v>
      </c>
      <c r="AB27" s="567">
        <v>0</v>
      </c>
      <c r="AC27" s="567">
        <v>0</v>
      </c>
      <c r="AD27" s="567">
        <v>0</v>
      </c>
      <c r="AE27" s="567">
        <v>0</v>
      </c>
      <c r="AF27" s="567">
        <v>0</v>
      </c>
      <c r="AG27" s="567">
        <v>0</v>
      </c>
      <c r="AH27" s="567">
        <f t="shared" si="13"/>
        <v>-9017.3670944635305</v>
      </c>
      <c r="AI27" s="935">
        <f t="shared" si="11"/>
        <v>0</v>
      </c>
      <c r="AU27" s="126"/>
    </row>
    <row r="28" spans="3:47" x14ac:dyDescent="0.25">
      <c r="C28" s="566" t="s">
        <v>385</v>
      </c>
      <c r="D28" s="567">
        <f>Summary!R21</f>
        <v>3</v>
      </c>
      <c r="E28" s="567">
        <v>0</v>
      </c>
      <c r="F28" s="567">
        <v>0</v>
      </c>
      <c r="G28" s="567">
        <v>0</v>
      </c>
      <c r="H28" s="567">
        <v>0</v>
      </c>
      <c r="I28" s="567">
        <f t="shared" si="12"/>
        <v>0</v>
      </c>
      <c r="J28" s="567">
        <v>0</v>
      </c>
      <c r="K28" s="567">
        <f>SUM(I28:J28)/(1+Inputs!$E$110)^2</f>
        <v>0</v>
      </c>
      <c r="L28" s="567">
        <v>15</v>
      </c>
      <c r="M28" s="567">
        <v>0</v>
      </c>
      <c r="N28" s="567">
        <v>0</v>
      </c>
      <c r="O28" s="567">
        <v>0</v>
      </c>
      <c r="P28" s="567">
        <v>0</v>
      </c>
      <c r="Q28" s="567">
        <v>0</v>
      </c>
      <c r="R28" s="567">
        <v>0</v>
      </c>
      <c r="S28" s="567">
        <v>0</v>
      </c>
      <c r="T28" s="567">
        <v>0</v>
      </c>
      <c r="U28" s="567">
        <v>0</v>
      </c>
      <c r="V28" s="567">
        <v>0</v>
      </c>
      <c r="W28" s="567">
        <v>0</v>
      </c>
      <c r="X28" s="567">
        <v>0</v>
      </c>
      <c r="Y28" s="567">
        <v>0</v>
      </c>
      <c r="Z28" s="567">
        <v>8276.0592833211249</v>
      </c>
      <c r="AA28" s="567">
        <v>0</v>
      </c>
      <c r="AB28" s="567">
        <v>0</v>
      </c>
      <c r="AC28" s="567">
        <v>0</v>
      </c>
      <c r="AD28" s="567">
        <v>8276.0592833211249</v>
      </c>
      <c r="AE28" s="567">
        <v>1044.7871931290829</v>
      </c>
      <c r="AF28" s="567">
        <v>9320.8464764502078</v>
      </c>
      <c r="AG28" s="567">
        <v>0</v>
      </c>
      <c r="AH28" s="567">
        <f t="shared" si="13"/>
        <v>9320.8464764502078</v>
      </c>
      <c r="AI28" s="935" t="str">
        <f t="shared" si="11"/>
        <v/>
      </c>
      <c r="AU28" s="126"/>
    </row>
    <row r="29" spans="3:47" collapsed="1" x14ac:dyDescent="0.25">
      <c r="C29" s="566" t="s">
        <v>461</v>
      </c>
      <c r="D29" s="567">
        <v>6</v>
      </c>
      <c r="E29" s="567">
        <f>Budget!C17</f>
        <v>0</v>
      </c>
      <c r="F29" s="567">
        <f>Budget!D17</f>
        <v>28141.54</v>
      </c>
      <c r="G29" s="567">
        <f>Budget!E17</f>
        <v>210</v>
      </c>
      <c r="H29" s="567">
        <f>Budget!F17</f>
        <v>0</v>
      </c>
      <c r="I29" s="567">
        <f t="shared" si="12"/>
        <v>28351.54</v>
      </c>
      <c r="J29" s="567">
        <v>0</v>
      </c>
      <c r="K29" s="567">
        <f>SUM(I29:J29)/(1+Inputs!$E$110)^2</f>
        <v>27261.304807679106</v>
      </c>
      <c r="L29" s="567">
        <v>0</v>
      </c>
      <c r="M29" s="567">
        <v>0</v>
      </c>
      <c r="N29" s="567">
        <v>0</v>
      </c>
      <c r="O29" s="567">
        <v>0</v>
      </c>
      <c r="P29" s="567">
        <v>0</v>
      </c>
      <c r="Q29" s="567">
        <v>0</v>
      </c>
      <c r="R29" s="567">
        <v>0</v>
      </c>
      <c r="S29" s="567">
        <v>0</v>
      </c>
      <c r="T29" s="567">
        <v>0</v>
      </c>
      <c r="U29" s="567">
        <v>0</v>
      </c>
      <c r="V29" s="567">
        <v>0</v>
      </c>
      <c r="W29" s="567">
        <v>0</v>
      </c>
      <c r="X29" s="567">
        <v>0</v>
      </c>
      <c r="Y29" s="567">
        <v>0</v>
      </c>
      <c r="Z29" s="567">
        <v>0</v>
      </c>
      <c r="AA29" s="567">
        <v>0</v>
      </c>
      <c r="AB29" s="567">
        <v>0</v>
      </c>
      <c r="AC29" s="567">
        <v>0</v>
      </c>
      <c r="AD29" s="567">
        <v>0</v>
      </c>
      <c r="AE29" s="567">
        <v>0</v>
      </c>
      <c r="AF29" s="567">
        <v>0</v>
      </c>
      <c r="AG29" s="567">
        <v>0</v>
      </c>
      <c r="AH29" s="567">
        <f t="shared" si="13"/>
        <v>-27261.304807679106</v>
      </c>
      <c r="AI29" s="935">
        <f t="shared" si="11"/>
        <v>0</v>
      </c>
      <c r="AU29" s="126"/>
    </row>
    <row r="30" spans="3:47" x14ac:dyDescent="0.25">
      <c r="C30" s="566" t="s">
        <v>458</v>
      </c>
      <c r="D30" s="567">
        <v>0</v>
      </c>
      <c r="E30" s="567">
        <v>0</v>
      </c>
      <c r="F30" s="567">
        <v>0</v>
      </c>
      <c r="G30" s="567">
        <v>0</v>
      </c>
      <c r="H30" s="567">
        <f>Inputs!E90</f>
        <v>238762.04200000002</v>
      </c>
      <c r="I30" s="567">
        <f>SUM(E30:H30)</f>
        <v>238762.04200000002</v>
      </c>
      <c r="J30" s="567">
        <v>0</v>
      </c>
      <c r="K30" s="567">
        <f>SUM(I30:J30)/(1+Inputs!$E$110)^2</f>
        <v>229580.64371338845</v>
      </c>
      <c r="L30" s="567">
        <v>0</v>
      </c>
      <c r="M30" s="567">
        <v>0</v>
      </c>
      <c r="N30" s="567">
        <v>0</v>
      </c>
      <c r="O30" s="567">
        <v>0</v>
      </c>
      <c r="P30" s="567">
        <v>0</v>
      </c>
      <c r="Q30" s="567">
        <v>0</v>
      </c>
      <c r="R30" s="567">
        <v>0</v>
      </c>
      <c r="S30" s="567">
        <v>0</v>
      </c>
      <c r="T30" s="567">
        <v>0</v>
      </c>
      <c r="U30" s="567">
        <v>0</v>
      </c>
      <c r="V30" s="567">
        <v>0</v>
      </c>
      <c r="W30" s="567">
        <v>0</v>
      </c>
      <c r="X30" s="567">
        <v>0</v>
      </c>
      <c r="Y30" s="567">
        <v>0</v>
      </c>
      <c r="Z30" s="567">
        <v>0</v>
      </c>
      <c r="AA30" s="567">
        <v>0</v>
      </c>
      <c r="AB30" s="567">
        <v>0</v>
      </c>
      <c r="AC30" s="567">
        <v>0</v>
      </c>
      <c r="AD30" s="567">
        <f>SUM(Z30:AC30)</f>
        <v>0</v>
      </c>
      <c r="AE30" s="567">
        <v>0</v>
      </c>
      <c r="AF30" s="567">
        <f t="shared" ref="AF30" si="14">SUM(Z30:AD30)</f>
        <v>0</v>
      </c>
      <c r="AG30" s="567">
        <v>0</v>
      </c>
      <c r="AH30" s="567">
        <f t="shared" si="13"/>
        <v>-229580.64371338845</v>
      </c>
      <c r="AI30" s="935">
        <f t="shared" si="11"/>
        <v>0</v>
      </c>
      <c r="AU30" s="126"/>
    </row>
    <row r="31" spans="3:47" x14ac:dyDescent="0.25">
      <c r="C31" s="475" t="s">
        <v>238</v>
      </c>
      <c r="D31" s="479">
        <f>SUM(D32,D34)</f>
        <v>39</v>
      </c>
      <c r="E31" s="479">
        <f t="shared" ref="E31:AG31" si="15">SUM(E32,E34)</f>
        <v>0</v>
      </c>
      <c r="F31" s="479">
        <f t="shared" si="15"/>
        <v>2610497.2099999995</v>
      </c>
      <c r="G31" s="479">
        <f t="shared" si="15"/>
        <v>411676.81</v>
      </c>
      <c r="H31" s="479">
        <f t="shared" si="15"/>
        <v>61066.058000000005</v>
      </c>
      <c r="I31" s="479">
        <f t="shared" si="15"/>
        <v>3083240.0779999997</v>
      </c>
      <c r="J31" s="479">
        <f t="shared" si="15"/>
        <v>113737</v>
      </c>
      <c r="K31" s="479">
        <f t="shared" si="15"/>
        <v>3074039.9493826889</v>
      </c>
      <c r="L31" s="479">
        <f t="shared" si="15"/>
        <v>235.80344468821386</v>
      </c>
      <c r="M31" s="479">
        <f t="shared" si="15"/>
        <v>-23.02457469448715</v>
      </c>
      <c r="N31" s="479">
        <f t="shared" si="15"/>
        <v>205.16240000000005</v>
      </c>
      <c r="O31" s="479">
        <f t="shared" si="15"/>
        <v>5835.8172000000004</v>
      </c>
      <c r="P31" s="479">
        <f t="shared" si="15"/>
        <v>1334.4301756284056</v>
      </c>
      <c r="Q31" s="479">
        <f t="shared" si="15"/>
        <v>33764.602098184827</v>
      </c>
      <c r="R31" s="479">
        <f t="shared" si="15"/>
        <v>361.87400000000002</v>
      </c>
      <c r="S31" s="479">
        <f t="shared" si="15"/>
        <v>6513.7320000000009</v>
      </c>
      <c r="T31" s="479">
        <f t="shared" si="15"/>
        <v>840.3416000000002</v>
      </c>
      <c r="U31" s="479">
        <f t="shared" si="15"/>
        <v>14930.348800000003</v>
      </c>
      <c r="V31" s="479">
        <f t="shared" si="15"/>
        <v>2536.6457756284058</v>
      </c>
      <c r="W31" s="479">
        <f t="shared" si="15"/>
        <v>55208.682898184823</v>
      </c>
      <c r="X31" s="479">
        <f t="shared" si="15"/>
        <v>119.85724973200001</v>
      </c>
      <c r="Y31" s="479">
        <f t="shared" si="15"/>
        <v>103.36219277200001</v>
      </c>
      <c r="Z31" s="479">
        <f t="shared" si="15"/>
        <v>2788083.4873505491</v>
      </c>
      <c r="AA31" s="479">
        <f t="shared" si="15"/>
        <v>709302.40533569292</v>
      </c>
      <c r="AB31" s="479">
        <f t="shared" si="15"/>
        <v>238703.67186367861</v>
      </c>
      <c r="AC31" s="479">
        <f t="shared" si="15"/>
        <v>743237.81874850672</v>
      </c>
      <c r="AD31" s="479">
        <f t="shared" si="15"/>
        <v>4479327.3832984269</v>
      </c>
      <c r="AE31" s="479">
        <f t="shared" si="15"/>
        <v>356870.91859884671</v>
      </c>
      <c r="AF31" s="479">
        <f t="shared" si="15"/>
        <v>4836198.3018972734</v>
      </c>
      <c r="AG31" s="479">
        <f t="shared" si="15"/>
        <v>527836.6527563706</v>
      </c>
      <c r="AH31" s="479">
        <f t="shared" si="13"/>
        <v>1762158.3525145845</v>
      </c>
      <c r="AI31" s="934">
        <f t="shared" si="11"/>
        <v>1.5732385985642285</v>
      </c>
      <c r="AU31" s="126"/>
    </row>
    <row r="32" spans="3:47" x14ac:dyDescent="0.25">
      <c r="C32" s="566" t="s">
        <v>122</v>
      </c>
      <c r="D32" s="567">
        <f>Summary!L20+8</f>
        <v>39</v>
      </c>
      <c r="E32" s="567">
        <f>Budget!C15+Budget!C16+Budget!C20+Budget!C21+Budget!C22</f>
        <v>0</v>
      </c>
      <c r="F32" s="567">
        <f>Budget!D15+Budget!D16+Budget!D20+Budget!D21+Budget!D22</f>
        <v>2610497.2099999995</v>
      </c>
      <c r="G32" s="567">
        <f>Budget!E15+Budget!E16+Budget!E20+Budget!E21+Budget!E22</f>
        <v>411676.81</v>
      </c>
      <c r="H32" s="567">
        <f>Budget!F15+Budget!F16+Budget!F20+Budget!F21+Budget!F22</f>
        <v>0</v>
      </c>
      <c r="I32" s="567">
        <f t="shared" ref="I32" si="16">SUM(E32:H32)</f>
        <v>3022174.0199999996</v>
      </c>
      <c r="J32" s="567">
        <v>113737</v>
      </c>
      <c r="K32" s="567">
        <f>SUM(I32:J32)/(1+Inputs!$E$110)^2</f>
        <v>3015322.1365040443</v>
      </c>
      <c r="L32" s="567">
        <v>235.80344468821386</v>
      </c>
      <c r="M32" s="567">
        <v>-23.02457469448715</v>
      </c>
      <c r="N32" s="567">
        <v>205.16240000000005</v>
      </c>
      <c r="O32" s="567">
        <v>5835.8172000000004</v>
      </c>
      <c r="P32" s="567">
        <v>1334.4301756284056</v>
      </c>
      <c r="Q32" s="567">
        <v>33764.602098184827</v>
      </c>
      <c r="R32" s="567">
        <v>361.87400000000002</v>
      </c>
      <c r="S32" s="567">
        <v>6513.7320000000009</v>
      </c>
      <c r="T32" s="567">
        <v>840.3416000000002</v>
      </c>
      <c r="U32" s="567">
        <v>14930.348800000003</v>
      </c>
      <c r="V32" s="567">
        <v>2536.6457756284058</v>
      </c>
      <c r="W32" s="567">
        <v>55208.682898184823</v>
      </c>
      <c r="X32" s="567">
        <v>119.85724973200001</v>
      </c>
      <c r="Y32" s="567">
        <v>103.36219277200001</v>
      </c>
      <c r="Z32" s="567">
        <v>2788083.4873505491</v>
      </c>
      <c r="AA32" s="567">
        <v>709302.40533569292</v>
      </c>
      <c r="AB32" s="567">
        <v>238703.67186367861</v>
      </c>
      <c r="AC32" s="567">
        <v>743237.81874850672</v>
      </c>
      <c r="AD32" s="567">
        <v>4479327.3832984269</v>
      </c>
      <c r="AE32" s="567">
        <v>356870.91859884671</v>
      </c>
      <c r="AF32" s="567">
        <v>4836198.3018972734</v>
      </c>
      <c r="AG32" s="567">
        <v>527836.6527563706</v>
      </c>
      <c r="AH32" s="567">
        <f t="shared" si="13"/>
        <v>1820876.1653932291</v>
      </c>
      <c r="AI32" s="935">
        <f t="shared" si="11"/>
        <v>1.6038745059273658</v>
      </c>
      <c r="AU32" s="126"/>
    </row>
    <row r="33" spans="3:47" x14ac:dyDescent="0.25">
      <c r="C33" s="566" t="s">
        <v>386</v>
      </c>
      <c r="D33" s="567">
        <v>0</v>
      </c>
      <c r="E33" s="567">
        <v>0</v>
      </c>
      <c r="F33" s="567">
        <v>0</v>
      </c>
      <c r="G33" s="567">
        <v>0</v>
      </c>
      <c r="H33" s="567">
        <v>0</v>
      </c>
      <c r="I33" s="567">
        <v>0</v>
      </c>
      <c r="J33" s="567">
        <v>0</v>
      </c>
      <c r="K33" s="567">
        <v>0</v>
      </c>
      <c r="L33" s="567">
        <v>0</v>
      </c>
      <c r="M33" s="567">
        <v>0</v>
      </c>
      <c r="N33" s="567">
        <v>0</v>
      </c>
      <c r="O33" s="567">
        <v>0</v>
      </c>
      <c r="P33" s="567">
        <v>0</v>
      </c>
      <c r="Q33" s="567">
        <v>0</v>
      </c>
      <c r="R33" s="567">
        <v>0</v>
      </c>
      <c r="S33" s="567">
        <v>0</v>
      </c>
      <c r="T33" s="567">
        <v>0</v>
      </c>
      <c r="U33" s="567">
        <v>0</v>
      </c>
      <c r="V33" s="567">
        <v>0</v>
      </c>
      <c r="W33" s="567">
        <v>0</v>
      </c>
      <c r="X33" s="567">
        <v>0</v>
      </c>
      <c r="Y33" s="567">
        <v>0</v>
      </c>
      <c r="Z33" s="567">
        <v>0</v>
      </c>
      <c r="AA33" s="567">
        <v>0</v>
      </c>
      <c r="AB33" s="567">
        <v>0</v>
      </c>
      <c r="AC33" s="567">
        <v>0</v>
      </c>
      <c r="AD33" s="567">
        <v>0</v>
      </c>
      <c r="AE33" s="567">
        <v>0</v>
      </c>
      <c r="AF33" s="567">
        <v>0</v>
      </c>
      <c r="AG33" s="567">
        <v>0</v>
      </c>
      <c r="AH33" s="567">
        <f t="shared" si="13"/>
        <v>0</v>
      </c>
      <c r="AI33" s="935" t="str">
        <f t="shared" si="11"/>
        <v/>
      </c>
      <c r="AU33" s="126"/>
    </row>
    <row r="34" spans="3:47" x14ac:dyDescent="0.25">
      <c r="C34" s="566" t="s">
        <v>459</v>
      </c>
      <c r="D34" s="567">
        <v>0</v>
      </c>
      <c r="E34" s="567">
        <v>0</v>
      </c>
      <c r="F34" s="567">
        <v>0</v>
      </c>
      <c r="G34" s="567">
        <v>0</v>
      </c>
      <c r="H34" s="567">
        <f>Inputs!E91</f>
        <v>61066.058000000005</v>
      </c>
      <c r="I34" s="567">
        <f>SUM(E34:H34)</f>
        <v>61066.058000000005</v>
      </c>
      <c r="J34" s="567">
        <v>0</v>
      </c>
      <c r="K34" s="567">
        <f>SUM(I34:J34)/(1+Inputs!$E$110)^2</f>
        <v>58717.812878644727</v>
      </c>
      <c r="L34" s="567">
        <v>0</v>
      </c>
      <c r="M34" s="567">
        <v>0</v>
      </c>
      <c r="N34" s="567">
        <v>0</v>
      </c>
      <c r="O34" s="567">
        <v>0</v>
      </c>
      <c r="P34" s="567">
        <v>0</v>
      </c>
      <c r="Q34" s="567">
        <v>0</v>
      </c>
      <c r="R34" s="567">
        <v>0</v>
      </c>
      <c r="S34" s="567">
        <v>0</v>
      </c>
      <c r="T34" s="567">
        <v>0</v>
      </c>
      <c r="U34" s="567">
        <v>0</v>
      </c>
      <c r="V34" s="567">
        <v>0</v>
      </c>
      <c r="W34" s="567">
        <v>0</v>
      </c>
      <c r="X34" s="567">
        <v>0</v>
      </c>
      <c r="Y34" s="567">
        <v>0</v>
      </c>
      <c r="Z34" s="567">
        <v>0</v>
      </c>
      <c r="AA34" s="567">
        <v>0</v>
      </c>
      <c r="AB34" s="567">
        <v>0</v>
      </c>
      <c r="AC34" s="567">
        <v>0</v>
      </c>
      <c r="AD34" s="567">
        <f>SUM(Z34:AC34)</f>
        <v>0</v>
      </c>
      <c r="AE34" s="567">
        <v>0</v>
      </c>
      <c r="AF34" s="567">
        <f t="shared" ref="AF34" si="17">SUM(Z34:AD34)</f>
        <v>0</v>
      </c>
      <c r="AG34" s="567">
        <v>0</v>
      </c>
      <c r="AH34" s="567">
        <f t="shared" si="13"/>
        <v>-58717.812878644727</v>
      </c>
      <c r="AI34" s="935">
        <f t="shared" si="11"/>
        <v>0</v>
      </c>
      <c r="AU34" s="126"/>
    </row>
    <row r="35" spans="3:47" x14ac:dyDescent="0.25">
      <c r="C35" s="475" t="s">
        <v>124</v>
      </c>
      <c r="D35" s="479">
        <f t="shared" ref="D35:AG35" si="18">SUM(D31,D25)</f>
        <v>55</v>
      </c>
      <c r="E35" s="479">
        <f t="shared" si="18"/>
        <v>0</v>
      </c>
      <c r="F35" s="479">
        <f t="shared" si="18"/>
        <v>4086030.1399999997</v>
      </c>
      <c r="G35" s="479">
        <f t="shared" si="18"/>
        <v>628272.53</v>
      </c>
      <c r="H35" s="479">
        <f t="shared" si="18"/>
        <v>299828.10000000003</v>
      </c>
      <c r="I35" s="479">
        <f t="shared" si="18"/>
        <v>5014130.7699999996</v>
      </c>
      <c r="J35" s="479">
        <f t="shared" si="18"/>
        <v>113737</v>
      </c>
      <c r="K35" s="479">
        <f>SUM(K31,K25)</f>
        <v>4931158.6750221653</v>
      </c>
      <c r="L35" s="479">
        <f t="shared" si="18"/>
        <v>338.58905968821387</v>
      </c>
      <c r="M35" s="479">
        <f t="shared" si="18"/>
        <v>-46.192569694487155</v>
      </c>
      <c r="N35" s="479">
        <f t="shared" si="18"/>
        <v>230.71350000000007</v>
      </c>
      <c r="O35" s="479">
        <f t="shared" si="18"/>
        <v>7149.5340000000006</v>
      </c>
      <c r="P35" s="479">
        <f t="shared" si="18"/>
        <v>1505.0079826309134</v>
      </c>
      <c r="Q35" s="479">
        <f t="shared" si="18"/>
        <v>41337.754561636044</v>
      </c>
      <c r="R35" s="479">
        <f t="shared" si="18"/>
        <v>613.346</v>
      </c>
      <c r="S35" s="479">
        <f t="shared" si="18"/>
        <v>11040.227999999999</v>
      </c>
      <c r="T35" s="479">
        <f t="shared" si="18"/>
        <v>1487.6436000000001</v>
      </c>
      <c r="U35" s="479">
        <f t="shared" si="18"/>
        <v>26581.784800000001</v>
      </c>
      <c r="V35" s="479">
        <f t="shared" si="18"/>
        <v>3605.9975826309137</v>
      </c>
      <c r="W35" s="479">
        <f t="shared" si="18"/>
        <v>78959.767361636041</v>
      </c>
      <c r="X35" s="479">
        <f t="shared" si="18"/>
        <v>185.271566342</v>
      </c>
      <c r="Y35" s="479">
        <f t="shared" si="18"/>
        <v>166.722200942</v>
      </c>
      <c r="Z35" s="479">
        <f t="shared" si="18"/>
        <v>3841488.2476588809</v>
      </c>
      <c r="AA35" s="479">
        <f t="shared" si="18"/>
        <v>861396.85780393053</v>
      </c>
      <c r="AB35" s="479">
        <f t="shared" si="18"/>
        <v>404582.65120704944</v>
      </c>
      <c r="AC35" s="479">
        <f t="shared" si="18"/>
        <v>1323525.4065082772</v>
      </c>
      <c r="AD35" s="479">
        <f t="shared" si="18"/>
        <v>6430993.1631781375</v>
      </c>
      <c r="AE35" s="479">
        <f t="shared" si="18"/>
        <v>357915.70579197578</v>
      </c>
      <c r="AF35" s="479">
        <f t="shared" si="18"/>
        <v>6788908.8689701129</v>
      </c>
      <c r="AG35" s="479">
        <f t="shared" si="18"/>
        <v>762897.08981229924</v>
      </c>
      <c r="AH35" s="479">
        <f t="shared" si="13"/>
        <v>1857750.1939479476</v>
      </c>
      <c r="AI35" s="934">
        <f t="shared" si="11"/>
        <v>1.3767370543880535</v>
      </c>
      <c r="AU35" s="126"/>
    </row>
    <row r="36" spans="3:47" x14ac:dyDescent="0.25">
      <c r="AI36" s="936"/>
      <c r="AU36" s="126"/>
    </row>
    <row r="37" spans="3:47" ht="18.75" x14ac:dyDescent="0.3">
      <c r="C37" s="478" t="s">
        <v>457</v>
      </c>
      <c r="D37" s="474" t="s">
        <v>394</v>
      </c>
      <c r="E37" s="1018" t="s">
        <v>542</v>
      </c>
      <c r="F37" s="1019"/>
      <c r="G37" s="1019"/>
      <c r="H37" s="1019"/>
      <c r="I37" s="1019"/>
      <c r="J37" s="1019"/>
      <c r="K37" s="1020"/>
      <c r="L37" s="1033" t="s">
        <v>469</v>
      </c>
      <c r="M37" s="1034"/>
      <c r="N37" s="1034"/>
      <c r="O37" s="1034"/>
      <c r="P37" s="1034"/>
      <c r="Q37" s="1034"/>
      <c r="R37" s="1034"/>
      <c r="S37" s="1034"/>
      <c r="T37" s="1034"/>
      <c r="U37" s="1034"/>
      <c r="V37" s="1034"/>
      <c r="W37" s="1034"/>
      <c r="X37" s="1034"/>
      <c r="Y37" s="1035"/>
      <c r="Z37" s="1018" t="s">
        <v>470</v>
      </c>
      <c r="AA37" s="1019"/>
      <c r="AB37" s="1019"/>
      <c r="AC37" s="1019"/>
      <c r="AD37" s="1019"/>
      <c r="AE37" s="1019"/>
      <c r="AF37" s="1019"/>
      <c r="AG37" s="1020"/>
      <c r="AH37" s="1018" t="s">
        <v>471</v>
      </c>
      <c r="AI37" s="1020"/>
      <c r="AK37" s="1043" t="s">
        <v>762</v>
      </c>
      <c r="AL37" s="1044"/>
      <c r="AM37" s="1044"/>
      <c r="AN37" s="1045"/>
    </row>
    <row r="38" spans="3:47" x14ac:dyDescent="0.25">
      <c r="C38" s="1010" t="s">
        <v>462</v>
      </c>
      <c r="D38" s="1024" t="s">
        <v>126</v>
      </c>
      <c r="E38" s="1027" t="s">
        <v>80</v>
      </c>
      <c r="F38" s="1027" t="s">
        <v>356</v>
      </c>
      <c r="G38" s="1027" t="s">
        <v>79</v>
      </c>
      <c r="H38" s="1027" t="s">
        <v>81</v>
      </c>
      <c r="I38" s="1027" t="s">
        <v>455</v>
      </c>
      <c r="J38" s="1030" t="s">
        <v>357</v>
      </c>
      <c r="K38" s="1030" t="s">
        <v>511</v>
      </c>
      <c r="L38" s="1011" t="s">
        <v>138</v>
      </c>
      <c r="M38" s="1012"/>
      <c r="N38" s="1012"/>
      <c r="O38" s="1012"/>
      <c r="P38" s="1012"/>
      <c r="Q38" s="1013"/>
      <c r="R38" s="1011" t="s">
        <v>433</v>
      </c>
      <c r="S38" s="1012"/>
      <c r="T38" s="1012"/>
      <c r="U38" s="1013"/>
      <c r="V38" s="1014" t="s">
        <v>434</v>
      </c>
      <c r="W38" s="1014"/>
      <c r="X38" s="1015" t="s">
        <v>435</v>
      </c>
      <c r="Y38" s="1015"/>
      <c r="Z38" s="1016" t="s">
        <v>138</v>
      </c>
      <c r="AA38" s="1017"/>
      <c r="AB38" s="1021" t="s">
        <v>130</v>
      </c>
      <c r="AC38" s="1023" t="s">
        <v>160</v>
      </c>
      <c r="AD38" s="1039" t="s">
        <v>436</v>
      </c>
      <c r="AE38" s="1041" t="s">
        <v>437</v>
      </c>
      <c r="AF38" s="1039" t="s">
        <v>438</v>
      </c>
      <c r="AG38" s="1039" t="s">
        <v>439</v>
      </c>
      <c r="AH38" s="1030" t="s">
        <v>512</v>
      </c>
      <c r="AI38" s="1037" t="s">
        <v>440</v>
      </c>
      <c r="AK38" s="1049" t="s">
        <v>732</v>
      </c>
      <c r="AL38" s="1046" t="s">
        <v>763</v>
      </c>
      <c r="AM38" s="1046" t="s">
        <v>764</v>
      </c>
      <c r="AN38" s="1046" t="s">
        <v>765</v>
      </c>
    </row>
    <row r="39" spans="3:47" x14ac:dyDescent="0.25">
      <c r="C39" s="1010"/>
      <c r="D39" s="1025"/>
      <c r="E39" s="1028"/>
      <c r="F39" s="1028"/>
      <c r="G39" s="1028"/>
      <c r="H39" s="1028"/>
      <c r="I39" s="1028"/>
      <c r="J39" s="1031"/>
      <c r="K39" s="1031"/>
      <c r="L39" s="1014" t="s">
        <v>441</v>
      </c>
      <c r="M39" s="1014"/>
      <c r="N39" s="1014" t="s">
        <v>442</v>
      </c>
      <c r="O39" s="1014"/>
      <c r="P39" s="1014" t="s">
        <v>443</v>
      </c>
      <c r="Q39" s="1014"/>
      <c r="R39" s="1040" t="s">
        <v>444</v>
      </c>
      <c r="S39" s="1040"/>
      <c r="T39" s="1040" t="s">
        <v>445</v>
      </c>
      <c r="U39" s="1040"/>
      <c r="V39" s="1040" t="s">
        <v>446</v>
      </c>
      <c r="W39" s="1040"/>
      <c r="X39" s="1015"/>
      <c r="Y39" s="1015"/>
      <c r="Z39" s="1036" t="s">
        <v>266</v>
      </c>
      <c r="AA39" s="1037" t="s">
        <v>447</v>
      </c>
      <c r="AB39" s="1022"/>
      <c r="AC39" s="1023"/>
      <c r="AD39" s="1039"/>
      <c r="AE39" s="1041"/>
      <c r="AF39" s="1039"/>
      <c r="AG39" s="1039"/>
      <c r="AH39" s="1031"/>
      <c r="AI39" s="1039"/>
      <c r="AK39" s="1050"/>
      <c r="AL39" s="1047"/>
      <c r="AM39" s="1047"/>
      <c r="AN39" s="1047"/>
    </row>
    <row r="40" spans="3:47" x14ac:dyDescent="0.25">
      <c r="C40" s="1010"/>
      <c r="D40" s="1026"/>
      <c r="E40" s="1029"/>
      <c r="F40" s="1029"/>
      <c r="G40" s="1029"/>
      <c r="H40" s="1029"/>
      <c r="I40" s="1029"/>
      <c r="J40" s="1032"/>
      <c r="K40" s="1032"/>
      <c r="L40" s="476" t="s">
        <v>448</v>
      </c>
      <c r="M40" s="476" t="s">
        <v>449</v>
      </c>
      <c r="N40" s="476" t="s">
        <v>10</v>
      </c>
      <c r="O40" s="476" t="s">
        <v>450</v>
      </c>
      <c r="P40" s="476" t="s">
        <v>10</v>
      </c>
      <c r="Q40" s="476" t="s">
        <v>450</v>
      </c>
      <c r="R40" s="476" t="s">
        <v>10</v>
      </c>
      <c r="S40" s="476" t="s">
        <v>450</v>
      </c>
      <c r="T40" s="476" t="s">
        <v>10</v>
      </c>
      <c r="U40" s="476" t="s">
        <v>450</v>
      </c>
      <c r="V40" s="476" t="s">
        <v>10</v>
      </c>
      <c r="W40" s="476" t="s">
        <v>450</v>
      </c>
      <c r="X40" s="477">
        <v>2025</v>
      </c>
      <c r="Y40" s="477">
        <v>2030</v>
      </c>
      <c r="Z40" s="1021"/>
      <c r="AA40" s="1038"/>
      <c r="AB40" s="1022"/>
      <c r="AC40" s="1017"/>
      <c r="AD40" s="1038"/>
      <c r="AE40" s="1042"/>
      <c r="AF40" s="1038"/>
      <c r="AG40" s="1038"/>
      <c r="AH40" s="1032"/>
      <c r="AI40" s="1038"/>
      <c r="AK40" s="1051"/>
      <c r="AL40" s="1048"/>
      <c r="AM40" s="1048"/>
      <c r="AN40" s="1048"/>
    </row>
    <row r="41" spans="3:47" x14ac:dyDescent="0.25">
      <c r="C41" s="475" t="s">
        <v>237</v>
      </c>
      <c r="D41" s="495">
        <f t="shared" ref="D41:AI41" si="19">IFERROR(D25/D9-1,"")</f>
        <v>-0.67999999999999994</v>
      </c>
      <c r="E41" s="495">
        <f t="shared" si="19"/>
        <v>-1</v>
      </c>
      <c r="F41" s="495">
        <f t="shared" si="19"/>
        <v>-0.43525873677733729</v>
      </c>
      <c r="G41" s="495">
        <f t="shared" si="19"/>
        <v>0.52720408954697673</v>
      </c>
      <c r="H41" s="495">
        <f t="shared" si="19"/>
        <v>0.59174694666666672</v>
      </c>
      <c r="I41" s="495">
        <f t="shared" si="19"/>
        <v>-0.33614069233460442</v>
      </c>
      <c r="J41" s="495">
        <f t="shared" si="19"/>
        <v>-1</v>
      </c>
      <c r="K41" s="495">
        <f t="shared" si="19"/>
        <v>-0.37641717303752875</v>
      </c>
      <c r="L41" s="495">
        <f t="shared" si="19"/>
        <v>-0.67405764583537997</v>
      </c>
      <c r="M41" s="495">
        <f t="shared" si="19"/>
        <v>-0.49286168964126864</v>
      </c>
      <c r="N41" s="495">
        <f t="shared" si="19"/>
        <v>-0.86814032455209555</v>
      </c>
      <c r="O41" s="495">
        <f t="shared" si="19"/>
        <v>-0.79818605088332029</v>
      </c>
      <c r="P41" s="495">
        <f t="shared" si="19"/>
        <v>-0.86761571289589556</v>
      </c>
      <c r="Q41" s="495">
        <f t="shared" si="19"/>
        <v>-0.79887686615552511</v>
      </c>
      <c r="R41" s="495">
        <f t="shared" si="19"/>
        <v>-0.86297609732620606</v>
      </c>
      <c r="S41" s="495">
        <f t="shared" si="19"/>
        <v>-0.86049554235582215</v>
      </c>
      <c r="T41" s="495">
        <f t="shared" si="19"/>
        <v>-0.26078765724540087</v>
      </c>
      <c r="U41" s="495">
        <f t="shared" si="19"/>
        <v>-0.24878987481290138</v>
      </c>
      <c r="V41" s="495">
        <f t="shared" si="19"/>
        <v>-0.73262269496708543</v>
      </c>
      <c r="W41" s="495">
        <f t="shared" si="19"/>
        <v>-0.72257131066042946</v>
      </c>
      <c r="X41" s="495">
        <f t="shared" si="19"/>
        <v>-0.72296575949177067</v>
      </c>
      <c r="Y41" s="495">
        <f t="shared" si="19"/>
        <v>-0.71266551247248133</v>
      </c>
      <c r="Z41" s="495">
        <f t="shared" si="19"/>
        <v>-0.67599489640127786</v>
      </c>
      <c r="AA41" s="495">
        <f t="shared" si="19"/>
        <v>-0.80470575629934626</v>
      </c>
      <c r="AB41" s="495">
        <f t="shared" si="19"/>
        <v>-0.85990995342663712</v>
      </c>
      <c r="AC41" s="495">
        <f t="shared" si="19"/>
        <v>-0.24654826803360963</v>
      </c>
      <c r="AD41" s="495">
        <f t="shared" si="19"/>
        <v>-0.67386653668568486</v>
      </c>
      <c r="AE41" s="495">
        <f t="shared" si="19"/>
        <v>-0.87364552432144948</v>
      </c>
      <c r="AF41" s="495">
        <f t="shared" si="19"/>
        <v>-0.67414219891538285</v>
      </c>
      <c r="AG41" s="495">
        <f t="shared" si="19"/>
        <v>-0.72510492289091277</v>
      </c>
      <c r="AH41" s="495">
        <f t="shared" si="19"/>
        <v>-0.96828806697445202</v>
      </c>
      <c r="AI41" s="495">
        <f t="shared" si="19"/>
        <v>-0.47744263152354582</v>
      </c>
      <c r="AK41" s="479" t="s">
        <v>237</v>
      </c>
      <c r="AL41" s="937">
        <f>I41</f>
        <v>-0.33614069233460442</v>
      </c>
      <c r="AM41" s="937">
        <f>O41</f>
        <v>-0.79818605088332029</v>
      </c>
      <c r="AN41" s="937">
        <f>AD41</f>
        <v>-0.67386653668568486</v>
      </c>
    </row>
    <row r="42" spans="3:47" x14ac:dyDescent="0.25">
      <c r="C42" s="566" t="s">
        <v>121</v>
      </c>
      <c r="D42" s="496">
        <f t="shared" ref="D42:AI42" si="20">IFERROR(D26/D10-1,"")</f>
        <v>-0.67999999999999994</v>
      </c>
      <c r="E42" s="496">
        <f t="shared" si="20"/>
        <v>-1</v>
      </c>
      <c r="F42" s="496">
        <f t="shared" si="20"/>
        <v>-0.40924769511919623</v>
      </c>
      <c r="G42" s="496">
        <f t="shared" si="20"/>
        <v>0.52572339150361347</v>
      </c>
      <c r="H42" s="496" t="str">
        <f t="shared" si="20"/>
        <v/>
      </c>
      <c r="I42" s="496">
        <f t="shared" si="20"/>
        <v>-0.35878447425776083</v>
      </c>
      <c r="J42" s="496">
        <f t="shared" si="20"/>
        <v>-1</v>
      </c>
      <c r="K42" s="496">
        <f t="shared" si="20"/>
        <v>-0.40226795784079761</v>
      </c>
      <c r="L42" s="496">
        <f t="shared" si="20"/>
        <v>-0.67779072168573462</v>
      </c>
      <c r="M42" s="496">
        <f t="shared" si="20"/>
        <v>-0.49286168964126864</v>
      </c>
      <c r="N42" s="496">
        <f t="shared" si="20"/>
        <v>-0.86843160495716765</v>
      </c>
      <c r="O42" s="496">
        <f t="shared" si="20"/>
        <v>-0.79819935019853361</v>
      </c>
      <c r="P42" s="496">
        <f t="shared" si="20"/>
        <v>-0.86797181080450658</v>
      </c>
      <c r="Q42" s="496">
        <f t="shared" si="20"/>
        <v>-0.79889542693092841</v>
      </c>
      <c r="R42" s="496">
        <f t="shared" si="20"/>
        <v>-0.86297609732620606</v>
      </c>
      <c r="S42" s="496">
        <f t="shared" si="20"/>
        <v>-0.86049554235582215</v>
      </c>
      <c r="T42" s="496">
        <f t="shared" si="20"/>
        <v>-0.26078765724540087</v>
      </c>
      <c r="U42" s="496">
        <f t="shared" si="20"/>
        <v>-0.24878987481290138</v>
      </c>
      <c r="V42" s="496">
        <f t="shared" si="20"/>
        <v>-0.73285482968750437</v>
      </c>
      <c r="W42" s="496">
        <f t="shared" si="20"/>
        <v>-0.72258257201178699</v>
      </c>
      <c r="X42" s="496">
        <f t="shared" si="20"/>
        <v>-0.72296575949177067</v>
      </c>
      <c r="Y42" s="496">
        <f t="shared" si="20"/>
        <v>-0.71266551247248133</v>
      </c>
      <c r="Z42" s="496">
        <f t="shared" si="20"/>
        <v>-0.67640262940875018</v>
      </c>
      <c r="AA42" s="496">
        <f t="shared" si="20"/>
        <v>-0.80474384942199917</v>
      </c>
      <c r="AB42" s="496">
        <f t="shared" si="20"/>
        <v>-0.85990995342663712</v>
      </c>
      <c r="AC42" s="496">
        <f t="shared" si="20"/>
        <v>-0.24654826803360963</v>
      </c>
      <c r="AD42" s="496">
        <f t="shared" si="20"/>
        <v>-0.67408802197499207</v>
      </c>
      <c r="AE42" s="496">
        <f t="shared" si="20"/>
        <v>-1</v>
      </c>
      <c r="AF42" s="496">
        <f t="shared" si="20"/>
        <v>-0.67453933320603721</v>
      </c>
      <c r="AG42" s="496">
        <f t="shared" si="20"/>
        <v>-0.72516313123308729</v>
      </c>
      <c r="AH42" s="496">
        <f t="shared" si="20"/>
        <v>-0.8935851988920277</v>
      </c>
      <c r="AI42" s="496">
        <f t="shared" si="20"/>
        <v>-0.45550741161826791</v>
      </c>
      <c r="AK42" s="567" t="s">
        <v>121</v>
      </c>
      <c r="AL42" s="938">
        <f t="shared" ref="AL42:AL51" si="21">I42</f>
        <v>-0.35878447425776083</v>
      </c>
      <c r="AM42" s="938">
        <f t="shared" ref="AM42:AM51" si="22">O42</f>
        <v>-0.79819935019853361</v>
      </c>
      <c r="AN42" s="938">
        <f t="shared" ref="AN42:AN51" si="23">AD42</f>
        <v>-0.67408802197499207</v>
      </c>
    </row>
    <row r="43" spans="3:47" x14ac:dyDescent="0.25">
      <c r="C43" s="566" t="s">
        <v>460</v>
      </c>
      <c r="D43" s="496" t="str">
        <f t="shared" ref="D43:AI43" si="24">IFERROR(D27/D11-1,"")</f>
        <v/>
      </c>
      <c r="E43" s="496" t="str">
        <f t="shared" si="24"/>
        <v/>
      </c>
      <c r="F43" s="496" t="str">
        <f t="shared" si="24"/>
        <v/>
      </c>
      <c r="G43" s="496" t="str">
        <f t="shared" si="24"/>
        <v/>
      </c>
      <c r="H43" s="496" t="str">
        <f t="shared" si="24"/>
        <v/>
      </c>
      <c r="I43" s="496" t="str">
        <f t="shared" si="24"/>
        <v/>
      </c>
      <c r="J43" s="496" t="str">
        <f t="shared" si="24"/>
        <v/>
      </c>
      <c r="K43" s="496" t="str">
        <f t="shared" si="24"/>
        <v/>
      </c>
      <c r="L43" s="496" t="str">
        <f t="shared" si="24"/>
        <v/>
      </c>
      <c r="M43" s="496" t="str">
        <f t="shared" si="24"/>
        <v/>
      </c>
      <c r="N43" s="496" t="str">
        <f t="shared" si="24"/>
        <v/>
      </c>
      <c r="O43" s="496" t="str">
        <f t="shared" si="24"/>
        <v/>
      </c>
      <c r="P43" s="496" t="str">
        <f t="shared" si="24"/>
        <v/>
      </c>
      <c r="Q43" s="496" t="str">
        <f t="shared" si="24"/>
        <v/>
      </c>
      <c r="R43" s="496" t="str">
        <f t="shared" si="24"/>
        <v/>
      </c>
      <c r="S43" s="496" t="str">
        <f t="shared" si="24"/>
        <v/>
      </c>
      <c r="T43" s="496" t="str">
        <f t="shared" si="24"/>
        <v/>
      </c>
      <c r="U43" s="496" t="str">
        <f t="shared" si="24"/>
        <v/>
      </c>
      <c r="V43" s="496" t="str">
        <f t="shared" si="24"/>
        <v/>
      </c>
      <c r="W43" s="496" t="str">
        <f t="shared" si="24"/>
        <v/>
      </c>
      <c r="X43" s="496" t="str">
        <f t="shared" si="24"/>
        <v/>
      </c>
      <c r="Y43" s="496" t="str">
        <f t="shared" si="24"/>
        <v/>
      </c>
      <c r="Z43" s="496" t="str">
        <f t="shared" si="24"/>
        <v/>
      </c>
      <c r="AA43" s="496" t="str">
        <f t="shared" si="24"/>
        <v/>
      </c>
      <c r="AB43" s="496" t="str">
        <f t="shared" si="24"/>
        <v/>
      </c>
      <c r="AC43" s="496" t="str">
        <f t="shared" si="24"/>
        <v/>
      </c>
      <c r="AD43" s="496" t="str">
        <f t="shared" si="24"/>
        <v/>
      </c>
      <c r="AE43" s="496" t="str">
        <f t="shared" si="24"/>
        <v/>
      </c>
      <c r="AF43" s="496" t="str">
        <f t="shared" si="24"/>
        <v/>
      </c>
      <c r="AG43" s="496" t="str">
        <f t="shared" si="24"/>
        <v/>
      </c>
      <c r="AH43" s="496" t="str">
        <f t="shared" si="24"/>
        <v/>
      </c>
      <c r="AI43" s="496" t="str">
        <f t="shared" si="24"/>
        <v/>
      </c>
      <c r="AK43" s="567" t="s">
        <v>460</v>
      </c>
      <c r="AL43" s="938" t="str">
        <f t="shared" si="21"/>
        <v/>
      </c>
      <c r="AM43" s="938" t="str">
        <f t="shared" si="22"/>
        <v/>
      </c>
      <c r="AN43" s="938" t="str">
        <f t="shared" si="23"/>
        <v/>
      </c>
    </row>
    <row r="44" spans="3:47" x14ac:dyDescent="0.25">
      <c r="C44" s="566" t="s">
        <v>385</v>
      </c>
      <c r="D44" s="496">
        <f t="shared" ref="D44:AI44" si="25">IFERROR(D28/D12-1,"")</f>
        <v>-0.7</v>
      </c>
      <c r="E44" s="496" t="str">
        <f t="shared" si="25"/>
        <v/>
      </c>
      <c r="F44" s="496">
        <f t="shared" si="25"/>
        <v>-1</v>
      </c>
      <c r="G44" s="496" t="str">
        <f t="shared" si="25"/>
        <v/>
      </c>
      <c r="H44" s="496" t="str">
        <f t="shared" si="25"/>
        <v/>
      </c>
      <c r="I44" s="496">
        <f t="shared" si="25"/>
        <v>-1</v>
      </c>
      <c r="J44" s="496" t="str">
        <f t="shared" si="25"/>
        <v/>
      </c>
      <c r="K44" s="496">
        <f t="shared" si="25"/>
        <v>-1</v>
      </c>
      <c r="L44" s="496">
        <f t="shared" si="25"/>
        <v>-0.6503496503496502</v>
      </c>
      <c r="M44" s="496" t="str">
        <f t="shared" si="25"/>
        <v/>
      </c>
      <c r="N44" s="496">
        <f t="shared" si="25"/>
        <v>-1</v>
      </c>
      <c r="O44" s="496">
        <f t="shared" si="25"/>
        <v>-1</v>
      </c>
      <c r="P44" s="496">
        <f t="shared" si="25"/>
        <v>-1</v>
      </c>
      <c r="Q44" s="496">
        <f t="shared" si="25"/>
        <v>-1</v>
      </c>
      <c r="R44" s="496" t="str">
        <f t="shared" si="25"/>
        <v/>
      </c>
      <c r="S44" s="496" t="str">
        <f t="shared" si="25"/>
        <v/>
      </c>
      <c r="T44" s="496" t="str">
        <f t="shared" si="25"/>
        <v/>
      </c>
      <c r="U44" s="496" t="str">
        <f t="shared" si="25"/>
        <v/>
      </c>
      <c r="V44" s="496">
        <f t="shared" si="25"/>
        <v>-1</v>
      </c>
      <c r="W44" s="496">
        <f t="shared" si="25"/>
        <v>-1</v>
      </c>
      <c r="X44" s="496" t="str">
        <f t="shared" si="25"/>
        <v/>
      </c>
      <c r="Y44" s="496" t="str">
        <f t="shared" si="25"/>
        <v/>
      </c>
      <c r="Z44" s="496">
        <f t="shared" si="25"/>
        <v>-0.61468459678380094</v>
      </c>
      <c r="AA44" s="496">
        <f t="shared" si="25"/>
        <v>-1</v>
      </c>
      <c r="AB44" s="496" t="str">
        <f t="shared" si="25"/>
        <v/>
      </c>
      <c r="AC44" s="496" t="str">
        <f t="shared" si="25"/>
        <v/>
      </c>
      <c r="AD44" s="496">
        <f t="shared" si="25"/>
        <v>-0.61193949784410973</v>
      </c>
      <c r="AE44" s="496" t="str">
        <f t="shared" si="25"/>
        <v/>
      </c>
      <c r="AF44" s="496">
        <f t="shared" si="25"/>
        <v>-0.56294992092930851</v>
      </c>
      <c r="AG44" s="496">
        <f t="shared" si="25"/>
        <v>-1</v>
      </c>
      <c r="AH44" s="496">
        <f t="shared" si="25"/>
        <v>-0.47691632415951124</v>
      </c>
      <c r="AI44" s="496" t="str">
        <f t="shared" si="25"/>
        <v/>
      </c>
      <c r="AK44" s="567" t="s">
        <v>385</v>
      </c>
      <c r="AL44" s="938">
        <f t="shared" si="21"/>
        <v>-1</v>
      </c>
      <c r="AM44" s="938">
        <f t="shared" si="22"/>
        <v>-1</v>
      </c>
      <c r="AN44" s="938">
        <f t="shared" si="23"/>
        <v>-0.61193949784410973</v>
      </c>
    </row>
    <row r="45" spans="3:47" x14ac:dyDescent="0.25">
      <c r="C45" s="566" t="s">
        <v>461</v>
      </c>
      <c r="D45" s="496">
        <f t="shared" ref="D45:AI45" si="26">IFERROR(D29/D13-1,"")</f>
        <v>-0.7</v>
      </c>
      <c r="E45" s="496" t="str">
        <f t="shared" si="26"/>
        <v/>
      </c>
      <c r="F45" s="496">
        <f t="shared" si="26"/>
        <v>-0.83834059257966842</v>
      </c>
      <c r="G45" s="496" t="str">
        <f t="shared" si="26"/>
        <v/>
      </c>
      <c r="H45" s="496" t="str">
        <f t="shared" si="26"/>
        <v/>
      </c>
      <c r="I45" s="496">
        <f t="shared" si="26"/>
        <v>-0.83713424511047274</v>
      </c>
      <c r="J45" s="496" t="str">
        <f t="shared" si="26"/>
        <v/>
      </c>
      <c r="K45" s="496">
        <f t="shared" si="26"/>
        <v>-0.83796322523094169</v>
      </c>
      <c r="L45" s="496" t="str">
        <f t="shared" si="26"/>
        <v/>
      </c>
      <c r="M45" s="496" t="str">
        <f t="shared" si="26"/>
        <v/>
      </c>
      <c r="N45" s="496" t="str">
        <f t="shared" si="26"/>
        <v/>
      </c>
      <c r="O45" s="496" t="str">
        <f t="shared" si="26"/>
        <v/>
      </c>
      <c r="P45" s="496" t="str">
        <f t="shared" si="26"/>
        <v/>
      </c>
      <c r="Q45" s="496" t="str">
        <f t="shared" si="26"/>
        <v/>
      </c>
      <c r="R45" s="496" t="str">
        <f t="shared" si="26"/>
        <v/>
      </c>
      <c r="S45" s="496" t="str">
        <f t="shared" si="26"/>
        <v/>
      </c>
      <c r="T45" s="496" t="str">
        <f t="shared" si="26"/>
        <v/>
      </c>
      <c r="U45" s="496" t="str">
        <f t="shared" si="26"/>
        <v/>
      </c>
      <c r="V45" s="496" t="str">
        <f t="shared" si="26"/>
        <v/>
      </c>
      <c r="W45" s="496" t="str">
        <f t="shared" si="26"/>
        <v/>
      </c>
      <c r="X45" s="496" t="str">
        <f t="shared" si="26"/>
        <v/>
      </c>
      <c r="Y45" s="496" t="str">
        <f t="shared" si="26"/>
        <v/>
      </c>
      <c r="Z45" s="496" t="str">
        <f t="shared" si="26"/>
        <v/>
      </c>
      <c r="AA45" s="496" t="str">
        <f t="shared" si="26"/>
        <v/>
      </c>
      <c r="AB45" s="496" t="str">
        <f t="shared" si="26"/>
        <v/>
      </c>
      <c r="AC45" s="496" t="str">
        <f t="shared" si="26"/>
        <v/>
      </c>
      <c r="AD45" s="496" t="str">
        <f t="shared" si="26"/>
        <v/>
      </c>
      <c r="AE45" s="496" t="str">
        <f t="shared" si="26"/>
        <v/>
      </c>
      <c r="AF45" s="496" t="str">
        <f t="shared" si="26"/>
        <v/>
      </c>
      <c r="AG45" s="496" t="str">
        <f t="shared" si="26"/>
        <v/>
      </c>
      <c r="AH45" s="496">
        <f t="shared" si="26"/>
        <v>-0.83796322523094169</v>
      </c>
      <c r="AI45" s="496" t="str">
        <f t="shared" si="26"/>
        <v/>
      </c>
      <c r="AK45" s="567" t="s">
        <v>461</v>
      </c>
      <c r="AL45" s="938">
        <f t="shared" si="21"/>
        <v>-0.83713424511047274</v>
      </c>
      <c r="AM45" s="938" t="str">
        <f t="shared" si="22"/>
        <v/>
      </c>
      <c r="AN45" s="938" t="str">
        <f t="shared" si="23"/>
        <v/>
      </c>
    </row>
    <row r="46" spans="3:47" x14ac:dyDescent="0.25">
      <c r="C46" s="566" t="s">
        <v>458</v>
      </c>
      <c r="D46" s="496" t="str">
        <f t="shared" ref="D46:AI46" si="27">IFERROR(D30/D14-1,"")</f>
        <v/>
      </c>
      <c r="E46" s="496" t="str">
        <f t="shared" si="27"/>
        <v/>
      </c>
      <c r="F46" s="496" t="str">
        <f t="shared" si="27"/>
        <v/>
      </c>
      <c r="G46" s="496" t="str">
        <f t="shared" si="27"/>
        <v/>
      </c>
      <c r="H46" s="496">
        <f t="shared" si="27"/>
        <v>0.59174694666666672</v>
      </c>
      <c r="I46" s="496">
        <f t="shared" si="27"/>
        <v>0.59174694666666672</v>
      </c>
      <c r="J46" s="496" t="str">
        <f t="shared" si="27"/>
        <v/>
      </c>
      <c r="K46" s="496">
        <f t="shared" si="27"/>
        <v>0.59174694666666672</v>
      </c>
      <c r="L46" s="496" t="str">
        <f t="shared" si="27"/>
        <v/>
      </c>
      <c r="M46" s="496" t="str">
        <f t="shared" si="27"/>
        <v/>
      </c>
      <c r="N46" s="496" t="str">
        <f t="shared" si="27"/>
        <v/>
      </c>
      <c r="O46" s="496" t="str">
        <f t="shared" si="27"/>
        <v/>
      </c>
      <c r="P46" s="496" t="str">
        <f t="shared" si="27"/>
        <v/>
      </c>
      <c r="Q46" s="496" t="str">
        <f t="shared" si="27"/>
        <v/>
      </c>
      <c r="R46" s="496" t="str">
        <f t="shared" si="27"/>
        <v/>
      </c>
      <c r="S46" s="496" t="str">
        <f t="shared" si="27"/>
        <v/>
      </c>
      <c r="T46" s="496" t="str">
        <f t="shared" si="27"/>
        <v/>
      </c>
      <c r="U46" s="496" t="str">
        <f t="shared" si="27"/>
        <v/>
      </c>
      <c r="V46" s="496" t="str">
        <f t="shared" si="27"/>
        <v/>
      </c>
      <c r="W46" s="496" t="str">
        <f t="shared" si="27"/>
        <v/>
      </c>
      <c r="X46" s="496" t="str">
        <f t="shared" si="27"/>
        <v/>
      </c>
      <c r="Y46" s="496" t="str">
        <f t="shared" si="27"/>
        <v/>
      </c>
      <c r="Z46" s="496" t="str">
        <f t="shared" si="27"/>
        <v/>
      </c>
      <c r="AA46" s="496" t="str">
        <f t="shared" si="27"/>
        <v/>
      </c>
      <c r="AB46" s="496" t="str">
        <f t="shared" si="27"/>
        <v/>
      </c>
      <c r="AC46" s="496" t="str">
        <f t="shared" si="27"/>
        <v/>
      </c>
      <c r="AD46" s="496" t="str">
        <f t="shared" si="27"/>
        <v/>
      </c>
      <c r="AE46" s="496" t="str">
        <f t="shared" si="27"/>
        <v/>
      </c>
      <c r="AF46" s="496" t="str">
        <f t="shared" si="27"/>
        <v/>
      </c>
      <c r="AG46" s="496" t="str">
        <f t="shared" si="27"/>
        <v/>
      </c>
      <c r="AH46" s="496">
        <f t="shared" si="27"/>
        <v>0.59174694666666672</v>
      </c>
      <c r="AI46" s="496" t="str">
        <f t="shared" si="27"/>
        <v/>
      </c>
      <c r="AK46" s="567" t="s">
        <v>458</v>
      </c>
      <c r="AL46" s="938">
        <f t="shared" si="21"/>
        <v>0.59174694666666672</v>
      </c>
      <c r="AM46" s="938" t="str">
        <f t="shared" si="22"/>
        <v/>
      </c>
      <c r="AN46" s="938" t="str">
        <f t="shared" si="23"/>
        <v/>
      </c>
    </row>
    <row r="47" spans="3:47" x14ac:dyDescent="0.25">
      <c r="C47" s="475" t="s">
        <v>238</v>
      </c>
      <c r="D47" s="495">
        <f t="shared" ref="D47:AI47" si="28">IFERROR(D31/D15-1,"")</f>
        <v>-0.21999999999999997</v>
      </c>
      <c r="E47" s="495">
        <f t="shared" si="28"/>
        <v>-1</v>
      </c>
      <c r="F47" s="495">
        <f t="shared" si="28"/>
        <v>-8.7158943963633329E-2</v>
      </c>
      <c r="G47" s="495">
        <f t="shared" si="28"/>
        <v>1.1534029554073495</v>
      </c>
      <c r="H47" s="495">
        <f t="shared" si="28"/>
        <v>-0.59289294666666659</v>
      </c>
      <c r="I47" s="495">
        <f t="shared" si="28"/>
        <v>-3.7367382002388538E-2</v>
      </c>
      <c r="J47" s="495" t="str">
        <f t="shared" si="28"/>
        <v/>
      </c>
      <c r="K47" s="495">
        <f t="shared" si="28"/>
        <v>-7.5128754571156531E-3</v>
      </c>
      <c r="L47" s="495">
        <f t="shared" si="28"/>
        <v>-0.29405706857975333</v>
      </c>
      <c r="M47" s="495">
        <f t="shared" si="28"/>
        <v>-0.40337719102021996</v>
      </c>
      <c r="N47" s="495">
        <f t="shared" si="28"/>
        <v>-0.12812976758615102</v>
      </c>
      <c r="O47" s="495">
        <f t="shared" si="28"/>
        <v>-0.19341359276117165</v>
      </c>
      <c r="P47" s="495">
        <f t="shared" si="28"/>
        <v>-0.14505189431832244</v>
      </c>
      <c r="Q47" s="495">
        <f t="shared" si="28"/>
        <v>-0.19421269396996133</v>
      </c>
      <c r="R47" s="495">
        <f t="shared" si="28"/>
        <v>-0.80123956359891002</v>
      </c>
      <c r="S47" s="495">
        <f t="shared" si="28"/>
        <v>-0.79813833561281122</v>
      </c>
      <c r="T47" s="495">
        <f t="shared" si="28"/>
        <v>-4.0338384787705683E-2</v>
      </c>
      <c r="U47" s="495">
        <f t="shared" si="28"/>
        <v>-3.7386534060260712E-2</v>
      </c>
      <c r="V47" s="495">
        <f t="shared" si="28"/>
        <v>-0.40414465936486521</v>
      </c>
      <c r="W47" s="495">
        <f t="shared" si="28"/>
        <v>-0.38438916326878025</v>
      </c>
      <c r="X47" s="495">
        <f t="shared" si="28"/>
        <v>-0.50627742692823152</v>
      </c>
      <c r="Y47" s="495">
        <f t="shared" si="28"/>
        <v>-0.53814530137968775</v>
      </c>
      <c r="Z47" s="495">
        <f t="shared" si="28"/>
        <v>-0.15638249309458252</v>
      </c>
      <c r="AA47" s="495">
        <f t="shared" si="28"/>
        <v>-0.18665524995805483</v>
      </c>
      <c r="AB47" s="495">
        <f t="shared" si="28"/>
        <v>-0.79723188404748413</v>
      </c>
      <c r="AC47" s="495">
        <f t="shared" si="28"/>
        <v>-3.5525182741122929E-2</v>
      </c>
      <c r="AD47" s="495">
        <f t="shared" si="28"/>
        <v>-0.26866142256748193</v>
      </c>
      <c r="AE47" s="495">
        <f t="shared" si="28"/>
        <v>-0.21913668052842894</v>
      </c>
      <c r="AF47" s="495">
        <f t="shared" si="28"/>
        <v>-0.26522259777388479</v>
      </c>
      <c r="AG47" s="495">
        <f t="shared" si="28"/>
        <v>-0.40628178413415605</v>
      </c>
      <c r="AH47" s="495">
        <f t="shared" si="28"/>
        <v>-0.49429317525558558</v>
      </c>
      <c r="AI47" s="495">
        <f t="shared" si="28"/>
        <v>-0.25966051946060675</v>
      </c>
      <c r="AK47" s="479" t="s">
        <v>238</v>
      </c>
      <c r="AL47" s="937">
        <f t="shared" si="21"/>
        <v>-3.7367382002388538E-2</v>
      </c>
      <c r="AM47" s="937">
        <f t="shared" si="22"/>
        <v>-0.19341359276117165</v>
      </c>
      <c r="AN47" s="937">
        <f t="shared" si="23"/>
        <v>-0.26866142256748193</v>
      </c>
    </row>
    <row r="48" spans="3:47" x14ac:dyDescent="0.25">
      <c r="C48" s="566" t="s">
        <v>122</v>
      </c>
      <c r="D48" s="496">
        <f t="shared" ref="D48:AI48" si="29">IFERROR(D32/D16-1,"")</f>
        <v>-0.21999999999999997</v>
      </c>
      <c r="E48" s="496">
        <f t="shared" si="29"/>
        <v>-1</v>
      </c>
      <c r="F48" s="496">
        <f t="shared" si="29"/>
        <v>-8.7158943963633329E-2</v>
      </c>
      <c r="G48" s="496">
        <f t="shared" si="29"/>
        <v>1.1534029554073495</v>
      </c>
      <c r="H48" s="496" t="str">
        <f t="shared" si="29"/>
        <v/>
      </c>
      <c r="I48" s="496">
        <f t="shared" si="29"/>
        <v>-1.007262870853376E-2</v>
      </c>
      <c r="J48" s="496" t="str">
        <f t="shared" si="29"/>
        <v/>
      </c>
      <c r="K48" s="496">
        <f t="shared" si="29"/>
        <v>2.107779181653946E-2</v>
      </c>
      <c r="L48" s="496">
        <f t="shared" si="29"/>
        <v>-0.15156097984630423</v>
      </c>
      <c r="M48" s="496">
        <f t="shared" si="29"/>
        <v>-0.40337719102021996</v>
      </c>
      <c r="N48" s="496">
        <f t="shared" si="29"/>
        <v>-0.13020341368696831</v>
      </c>
      <c r="O48" s="496">
        <f t="shared" si="29"/>
        <v>-0.19347612864707464</v>
      </c>
      <c r="P48" s="496">
        <f t="shared" si="29"/>
        <v>-0.14753600523677135</v>
      </c>
      <c r="Q48" s="496">
        <f t="shared" si="29"/>
        <v>-0.19430014866051348</v>
      </c>
      <c r="R48" s="496">
        <f t="shared" si="29"/>
        <v>-0.80123956359891002</v>
      </c>
      <c r="S48" s="496">
        <f t="shared" si="29"/>
        <v>-0.79813833561281122</v>
      </c>
      <c r="T48" s="496">
        <f t="shared" si="29"/>
        <v>-4.0338384787705683E-2</v>
      </c>
      <c r="U48" s="496">
        <f t="shared" si="29"/>
        <v>-3.7386534060260712E-2</v>
      </c>
      <c r="V48" s="496">
        <f t="shared" si="29"/>
        <v>-0.40478058910403092</v>
      </c>
      <c r="W48" s="496">
        <f t="shared" si="29"/>
        <v>-0.38442038335795559</v>
      </c>
      <c r="X48" s="496">
        <f t="shared" si="29"/>
        <v>-0.50627742692823152</v>
      </c>
      <c r="Y48" s="496">
        <f t="shared" si="29"/>
        <v>-0.53814530137968775</v>
      </c>
      <c r="Z48" s="496">
        <f t="shared" si="29"/>
        <v>-0.14915157377433141</v>
      </c>
      <c r="AA48" s="496">
        <f t="shared" si="29"/>
        <v>-0.18684069198626119</v>
      </c>
      <c r="AB48" s="496">
        <f t="shared" si="29"/>
        <v>-0.79723188404748413</v>
      </c>
      <c r="AC48" s="496">
        <f t="shared" si="29"/>
        <v>-3.5525182741122929E-2</v>
      </c>
      <c r="AD48" s="496">
        <f t="shared" si="29"/>
        <v>-0.26531622708658531</v>
      </c>
      <c r="AE48" s="496">
        <f t="shared" si="29"/>
        <v>-0.21913668052842894</v>
      </c>
      <c r="AF48" s="496">
        <f t="shared" si="29"/>
        <v>-0.26209603674513671</v>
      </c>
      <c r="AG48" s="496">
        <f t="shared" si="29"/>
        <v>-0.4064400123707187</v>
      </c>
      <c r="AH48" s="496">
        <f t="shared" si="29"/>
        <v>-0.49432598452017751</v>
      </c>
      <c r="AI48" s="496">
        <f t="shared" si="29"/>
        <v>-0.27732835914284093</v>
      </c>
      <c r="AK48" s="567" t="s">
        <v>122</v>
      </c>
      <c r="AL48" s="938">
        <f t="shared" si="21"/>
        <v>-1.007262870853376E-2</v>
      </c>
      <c r="AM48" s="938">
        <f t="shared" si="22"/>
        <v>-0.19347612864707464</v>
      </c>
      <c r="AN48" s="938">
        <f t="shared" si="23"/>
        <v>-0.26531622708658531</v>
      </c>
    </row>
    <row r="49" spans="3:40" x14ac:dyDescent="0.25">
      <c r="C49" s="566" t="s">
        <v>386</v>
      </c>
      <c r="D49" s="496">
        <f t="shared" ref="D49:AI49" si="30">IFERROR(D33/D17-1,"")</f>
        <v>-1</v>
      </c>
      <c r="E49" s="496" t="str">
        <f t="shared" si="30"/>
        <v/>
      </c>
      <c r="F49" s="496" t="str">
        <f t="shared" si="30"/>
        <v/>
      </c>
      <c r="G49" s="496" t="str">
        <f t="shared" si="30"/>
        <v/>
      </c>
      <c r="H49" s="496" t="str">
        <f t="shared" si="30"/>
        <v/>
      </c>
      <c r="I49" s="496" t="str">
        <f t="shared" si="30"/>
        <v/>
      </c>
      <c r="J49" s="496" t="str">
        <f t="shared" si="30"/>
        <v/>
      </c>
      <c r="K49" s="496" t="str">
        <f t="shared" si="30"/>
        <v/>
      </c>
      <c r="L49" s="496">
        <f t="shared" si="30"/>
        <v>-1</v>
      </c>
      <c r="M49" s="496" t="str">
        <f t="shared" si="30"/>
        <v/>
      </c>
      <c r="N49" s="496">
        <f t="shared" si="30"/>
        <v>-1</v>
      </c>
      <c r="O49" s="496">
        <f t="shared" si="30"/>
        <v>-1</v>
      </c>
      <c r="P49" s="496">
        <f t="shared" si="30"/>
        <v>-1</v>
      </c>
      <c r="Q49" s="496">
        <f t="shared" si="30"/>
        <v>-1</v>
      </c>
      <c r="R49" s="496" t="str">
        <f t="shared" si="30"/>
        <v/>
      </c>
      <c r="S49" s="496" t="str">
        <f t="shared" si="30"/>
        <v/>
      </c>
      <c r="T49" s="496" t="str">
        <f t="shared" si="30"/>
        <v/>
      </c>
      <c r="U49" s="496" t="str">
        <f t="shared" si="30"/>
        <v/>
      </c>
      <c r="V49" s="496">
        <f t="shared" si="30"/>
        <v>-1</v>
      </c>
      <c r="W49" s="496">
        <f t="shared" si="30"/>
        <v>-1</v>
      </c>
      <c r="X49" s="496" t="str">
        <f t="shared" si="30"/>
        <v/>
      </c>
      <c r="Y49" s="496" t="str">
        <f t="shared" si="30"/>
        <v/>
      </c>
      <c r="Z49" s="496">
        <f t="shared" si="30"/>
        <v>-1</v>
      </c>
      <c r="AA49" s="496">
        <f t="shared" si="30"/>
        <v>-1</v>
      </c>
      <c r="AB49" s="496" t="str">
        <f t="shared" si="30"/>
        <v/>
      </c>
      <c r="AC49" s="496" t="str">
        <f t="shared" si="30"/>
        <v/>
      </c>
      <c r="AD49" s="496">
        <f t="shared" si="30"/>
        <v>-1</v>
      </c>
      <c r="AE49" s="496" t="str">
        <f t="shared" si="30"/>
        <v/>
      </c>
      <c r="AF49" s="496">
        <f t="shared" si="30"/>
        <v>-1</v>
      </c>
      <c r="AG49" s="496">
        <f t="shared" si="30"/>
        <v>-1</v>
      </c>
      <c r="AH49" s="496">
        <f t="shared" si="30"/>
        <v>-1</v>
      </c>
      <c r="AI49" s="496" t="str">
        <f t="shared" si="30"/>
        <v/>
      </c>
      <c r="AK49" s="567" t="s">
        <v>386</v>
      </c>
      <c r="AL49" s="938" t="str">
        <f t="shared" si="21"/>
        <v/>
      </c>
      <c r="AM49" s="938">
        <f t="shared" si="22"/>
        <v>-1</v>
      </c>
      <c r="AN49" s="938">
        <f t="shared" si="23"/>
        <v>-1</v>
      </c>
    </row>
    <row r="50" spans="3:40" x14ac:dyDescent="0.25">
      <c r="C50" s="566" t="s">
        <v>459</v>
      </c>
      <c r="D50" s="496" t="str">
        <f t="shared" ref="D50:AI50" si="31">IFERROR(D34/D18-1,"")</f>
        <v/>
      </c>
      <c r="E50" s="496" t="str">
        <f t="shared" si="31"/>
        <v/>
      </c>
      <c r="F50" s="496" t="str">
        <f t="shared" si="31"/>
        <v/>
      </c>
      <c r="G50" s="496" t="str">
        <f t="shared" si="31"/>
        <v/>
      </c>
      <c r="H50" s="496">
        <f t="shared" si="31"/>
        <v>-0.59289294666666659</v>
      </c>
      <c r="I50" s="496">
        <f t="shared" si="31"/>
        <v>-0.59289294666666659</v>
      </c>
      <c r="J50" s="496" t="str">
        <f t="shared" si="31"/>
        <v/>
      </c>
      <c r="K50" s="496">
        <f t="shared" si="31"/>
        <v>-0.5928929466666667</v>
      </c>
      <c r="L50" s="496" t="str">
        <f t="shared" si="31"/>
        <v/>
      </c>
      <c r="M50" s="496" t="str">
        <f t="shared" si="31"/>
        <v/>
      </c>
      <c r="N50" s="496" t="str">
        <f t="shared" si="31"/>
        <v/>
      </c>
      <c r="O50" s="496" t="str">
        <f t="shared" si="31"/>
        <v/>
      </c>
      <c r="P50" s="496" t="str">
        <f t="shared" si="31"/>
        <v/>
      </c>
      <c r="Q50" s="496" t="str">
        <f t="shared" si="31"/>
        <v/>
      </c>
      <c r="R50" s="496" t="str">
        <f t="shared" si="31"/>
        <v/>
      </c>
      <c r="S50" s="496" t="str">
        <f t="shared" si="31"/>
        <v/>
      </c>
      <c r="T50" s="496" t="str">
        <f t="shared" si="31"/>
        <v/>
      </c>
      <c r="U50" s="496" t="str">
        <f t="shared" si="31"/>
        <v/>
      </c>
      <c r="V50" s="496" t="str">
        <f t="shared" si="31"/>
        <v/>
      </c>
      <c r="W50" s="496" t="str">
        <f t="shared" si="31"/>
        <v/>
      </c>
      <c r="X50" s="496" t="str">
        <f t="shared" si="31"/>
        <v/>
      </c>
      <c r="Y50" s="496" t="str">
        <f t="shared" si="31"/>
        <v/>
      </c>
      <c r="Z50" s="496" t="str">
        <f t="shared" si="31"/>
        <v/>
      </c>
      <c r="AA50" s="496" t="str">
        <f t="shared" si="31"/>
        <v/>
      </c>
      <c r="AB50" s="496" t="str">
        <f t="shared" si="31"/>
        <v/>
      </c>
      <c r="AC50" s="496" t="str">
        <f t="shared" si="31"/>
        <v/>
      </c>
      <c r="AD50" s="496" t="str">
        <f t="shared" si="31"/>
        <v/>
      </c>
      <c r="AE50" s="496" t="str">
        <f t="shared" si="31"/>
        <v/>
      </c>
      <c r="AF50" s="496" t="str">
        <f t="shared" si="31"/>
        <v/>
      </c>
      <c r="AG50" s="496" t="str">
        <f t="shared" si="31"/>
        <v/>
      </c>
      <c r="AH50" s="496">
        <f t="shared" si="31"/>
        <v>-0.5928929466666667</v>
      </c>
      <c r="AI50" s="496" t="str">
        <f t="shared" si="31"/>
        <v/>
      </c>
      <c r="AK50" s="567" t="s">
        <v>459</v>
      </c>
      <c r="AL50" s="938">
        <f t="shared" si="21"/>
        <v>-0.59289294666666659</v>
      </c>
      <c r="AM50" s="938" t="str">
        <f t="shared" si="22"/>
        <v/>
      </c>
      <c r="AN50" s="938" t="str">
        <f t="shared" si="23"/>
        <v/>
      </c>
    </row>
    <row r="51" spans="3:40" x14ac:dyDescent="0.25">
      <c r="C51" s="475" t="s">
        <v>124</v>
      </c>
      <c r="D51" s="495">
        <f t="shared" ref="D51:AI51" si="32">IFERROR(D35/D19-1,"")</f>
        <v>-0.44999999999999996</v>
      </c>
      <c r="E51" s="495">
        <f t="shared" si="32"/>
        <v>-1</v>
      </c>
      <c r="F51" s="495">
        <f t="shared" si="32"/>
        <v>-0.25335344498636203</v>
      </c>
      <c r="G51" s="495">
        <f t="shared" si="32"/>
        <v>0.88670429429429443</v>
      </c>
      <c r="H51" s="495">
        <f t="shared" si="32"/>
        <v>-5.7299999999993467E-4</v>
      </c>
      <c r="I51" s="495">
        <f t="shared" si="32"/>
        <v>-0.17955931873508735</v>
      </c>
      <c r="J51" s="495">
        <f t="shared" si="32"/>
        <v>-0.33661708953047531</v>
      </c>
      <c r="K51" s="495">
        <f t="shared" si="32"/>
        <v>-0.18834709190557652</v>
      </c>
      <c r="L51" s="495">
        <f t="shared" si="32"/>
        <v>-0.47859262087657639</v>
      </c>
      <c r="M51" s="495">
        <f t="shared" si="32"/>
        <v>-0.45188476876098249</v>
      </c>
      <c r="N51" s="495">
        <f t="shared" si="32"/>
        <v>-0.46231650591809759</v>
      </c>
      <c r="O51" s="495">
        <f t="shared" si="32"/>
        <v>-0.47983521032571319</v>
      </c>
      <c r="P51" s="495">
        <f t="shared" si="32"/>
        <v>-0.47180409586487937</v>
      </c>
      <c r="Q51" s="495">
        <f t="shared" si="32"/>
        <v>-0.48040034105508544</v>
      </c>
      <c r="R51" s="495">
        <f t="shared" si="32"/>
        <v>-0.83223100107826176</v>
      </c>
      <c r="S51" s="495">
        <f t="shared" si="32"/>
        <v>-0.82940301734344446</v>
      </c>
      <c r="T51" s="495">
        <f t="shared" si="32"/>
        <v>-0.15056302101655328</v>
      </c>
      <c r="U51" s="495">
        <f t="shared" si="32"/>
        <v>-0.1430882044365811</v>
      </c>
      <c r="V51" s="495">
        <f t="shared" si="32"/>
        <v>-0.56325674705404438</v>
      </c>
      <c r="W51" s="495">
        <f t="shared" si="32"/>
        <v>-0.54955456591230356</v>
      </c>
      <c r="X51" s="495">
        <f t="shared" si="32"/>
        <v>-0.61311962486530258</v>
      </c>
      <c r="Y51" s="495">
        <f t="shared" si="32"/>
        <v>-0.6247595612728809</v>
      </c>
      <c r="Z51" s="495">
        <f t="shared" si="32"/>
        <v>-0.41406002583432844</v>
      </c>
      <c r="AA51" s="495">
        <f t="shared" si="32"/>
        <v>-0.47821871911775693</v>
      </c>
      <c r="AB51" s="495">
        <f t="shared" si="32"/>
        <v>-0.82866200853322269</v>
      </c>
      <c r="AC51" s="495">
        <f t="shared" si="32"/>
        <v>-0.14100647068349426</v>
      </c>
      <c r="AD51" s="495">
        <f t="shared" si="32"/>
        <v>-0.4689118883577521</v>
      </c>
      <c r="AE51" s="495">
        <f t="shared" si="32"/>
        <v>-0.23076800874834791</v>
      </c>
      <c r="AF51" s="495">
        <f t="shared" si="32"/>
        <v>-0.46009985137608878</v>
      </c>
      <c r="AG51" s="495">
        <f t="shared" si="32"/>
        <v>-0.56259088914812061</v>
      </c>
      <c r="AH51" s="495">
        <f t="shared" si="32"/>
        <v>-0.71414505051877331</v>
      </c>
      <c r="AI51" s="495">
        <f t="shared" si="32"/>
        <v>-0.33481400332628142</v>
      </c>
      <c r="AK51" s="479" t="s">
        <v>124</v>
      </c>
      <c r="AL51" s="937">
        <f t="shared" si="21"/>
        <v>-0.17955931873508735</v>
      </c>
      <c r="AM51" s="937">
        <f t="shared" si="22"/>
        <v>-0.47983521032571319</v>
      </c>
      <c r="AN51" s="937">
        <f t="shared" si="23"/>
        <v>-0.4689118883577521</v>
      </c>
    </row>
    <row r="53" spans="3:40" x14ac:dyDescent="0.25">
      <c r="D53" s="882" t="s">
        <v>33</v>
      </c>
    </row>
    <row r="54" spans="3:40" x14ac:dyDescent="0.25">
      <c r="D54" s="480" t="s">
        <v>733</v>
      </c>
      <c r="AD54" s="3"/>
      <c r="AF54" s="3"/>
    </row>
    <row r="55" spans="3:40" x14ac:dyDescent="0.25">
      <c r="D55" s="1135" t="s">
        <v>731</v>
      </c>
      <c r="E55" s="1135"/>
      <c r="F55" s="1135"/>
      <c r="G55" s="1135"/>
      <c r="H55" s="1135"/>
      <c r="I55" s="1135"/>
      <c r="J55" s="1135"/>
      <c r="K55" s="1135"/>
      <c r="AD55" s="22"/>
      <c r="AF55" s="22"/>
    </row>
    <row r="56" spans="3:40" x14ac:dyDescent="0.25">
      <c r="C56" s="480"/>
      <c r="D56" s="1135"/>
      <c r="E56" s="1135"/>
      <c r="F56" s="1135"/>
      <c r="G56" s="1135"/>
      <c r="H56" s="1135"/>
      <c r="I56" s="1135"/>
      <c r="J56" s="1135"/>
      <c r="K56" s="1135"/>
      <c r="AD56" s="22"/>
      <c r="AF56" s="22"/>
    </row>
  </sheetData>
  <mergeCells count="108">
    <mergeCell ref="D55:K56"/>
    <mergeCell ref="AK37:AN37"/>
    <mergeCell ref="AN38:AN40"/>
    <mergeCell ref="AM38:AM40"/>
    <mergeCell ref="AL38:AL40"/>
    <mergeCell ref="AK38:AK40"/>
    <mergeCell ref="AH38:AH40"/>
    <mergeCell ref="AI38:AI40"/>
    <mergeCell ref="L39:M39"/>
    <mergeCell ref="N39:O39"/>
    <mergeCell ref="P39:Q39"/>
    <mergeCell ref="R39:S39"/>
    <mergeCell ref="T39:U39"/>
    <mergeCell ref="V38:W38"/>
    <mergeCell ref="X38:Y39"/>
    <mergeCell ref="Z38:AA38"/>
    <mergeCell ref="AB38:AB40"/>
    <mergeCell ref="AC38:AC40"/>
    <mergeCell ref="AD38:AD40"/>
    <mergeCell ref="V39:W39"/>
    <mergeCell ref="Z39:Z40"/>
    <mergeCell ref="AA39:AA40"/>
    <mergeCell ref="H38:H40"/>
    <mergeCell ref="I38:I40"/>
    <mergeCell ref="J38:J40"/>
    <mergeCell ref="K38:K40"/>
    <mergeCell ref="L38:Q38"/>
    <mergeCell ref="R38:U38"/>
    <mergeCell ref="E37:K37"/>
    <mergeCell ref="L37:Y37"/>
    <mergeCell ref="Z37:AG37"/>
    <mergeCell ref="AE38:AE40"/>
    <mergeCell ref="AF38:AF40"/>
    <mergeCell ref="AG38:AG40"/>
    <mergeCell ref="C22:C24"/>
    <mergeCell ref="D22:D24"/>
    <mergeCell ref="E22:E24"/>
    <mergeCell ref="F22:F24"/>
    <mergeCell ref="G22:G24"/>
    <mergeCell ref="H22:H24"/>
    <mergeCell ref="AH37:AI37"/>
    <mergeCell ref="C38:C40"/>
    <mergeCell ref="D38:D40"/>
    <mergeCell ref="E38:E40"/>
    <mergeCell ref="F38:F40"/>
    <mergeCell ref="G38:G40"/>
    <mergeCell ref="L23:M23"/>
    <mergeCell ref="N23:O23"/>
    <mergeCell ref="P23:Q23"/>
    <mergeCell ref="R23:S23"/>
    <mergeCell ref="T23:U23"/>
    <mergeCell ref="V23:W23"/>
    <mergeCell ref="AD22:AD24"/>
    <mergeCell ref="AE22:AE24"/>
    <mergeCell ref="AF22:AF24"/>
    <mergeCell ref="AG22:AG24"/>
    <mergeCell ref="AH22:AH24"/>
    <mergeCell ref="AB22:AB24"/>
    <mergeCell ref="E21:K21"/>
    <mergeCell ref="L21:Y21"/>
    <mergeCell ref="Z21:AG21"/>
    <mergeCell ref="AH21:AI21"/>
    <mergeCell ref="I22:I24"/>
    <mergeCell ref="J22:J24"/>
    <mergeCell ref="K22:K24"/>
    <mergeCell ref="L22:Q22"/>
    <mergeCell ref="V7:W7"/>
    <mergeCell ref="Z7:Z8"/>
    <mergeCell ref="AA7:AA8"/>
    <mergeCell ref="AH5:AI5"/>
    <mergeCell ref="AC22:AC24"/>
    <mergeCell ref="Z23:Z24"/>
    <mergeCell ref="AA23:AA24"/>
    <mergeCell ref="AI22:AI24"/>
    <mergeCell ref="R22:U22"/>
    <mergeCell ref="V22:W22"/>
    <mergeCell ref="X22:Y23"/>
    <mergeCell ref="Z22:AA22"/>
    <mergeCell ref="AH6:AH8"/>
    <mergeCell ref="AI6:AI8"/>
    <mergeCell ref="R7:S7"/>
    <mergeCell ref="T7:U7"/>
    <mergeCell ref="AD6:AD8"/>
    <mergeCell ref="AE6:AE8"/>
    <mergeCell ref="AF6:AF8"/>
    <mergeCell ref="AG6:AG8"/>
    <mergeCell ref="C6:C8"/>
    <mergeCell ref="L6:Q6"/>
    <mergeCell ref="R6:U6"/>
    <mergeCell ref="V6:W6"/>
    <mergeCell ref="X6:Y7"/>
    <mergeCell ref="Z6:AA6"/>
    <mergeCell ref="Z5:AG5"/>
    <mergeCell ref="AB6:AB8"/>
    <mergeCell ref="AC6:AC8"/>
    <mergeCell ref="D6:D8"/>
    <mergeCell ref="I6:I8"/>
    <mergeCell ref="H6:H8"/>
    <mergeCell ref="G6:G8"/>
    <mergeCell ref="J6:J8"/>
    <mergeCell ref="K6:K8"/>
    <mergeCell ref="E6:E8"/>
    <mergeCell ref="F6:F8"/>
    <mergeCell ref="L5:Y5"/>
    <mergeCell ref="E5:K5"/>
    <mergeCell ref="L7:M7"/>
    <mergeCell ref="N7:O7"/>
    <mergeCell ref="P7:Q7"/>
  </mergeCells>
  <pageMargins left="0.7" right="0.7" top="0.75" bottom="0.75" header="0.3" footer="0.3"/>
  <pageSetup scale="55" fitToWidth="2" orientation="landscape" r:id="rId1"/>
  <colBreaks count="2" manualBreakCount="2">
    <brk id="11" min="1" max="55" man="1"/>
    <brk id="25" min="1" max="5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E26C6-803F-4801-B0E0-DF5672EE841E}">
  <sheetPr codeName="Sheet36">
    <tabColor theme="7"/>
    <pageSetUpPr fitToPage="1"/>
  </sheetPr>
  <dimension ref="B2:O40"/>
  <sheetViews>
    <sheetView showGridLines="0" zoomScale="85" zoomScaleNormal="85" workbookViewId="0"/>
  </sheetViews>
  <sheetFormatPr defaultRowHeight="15" x14ac:dyDescent="0.25"/>
  <cols>
    <col min="1" max="2" width="2.7109375" customWidth="1"/>
    <col min="3" max="3" width="32" bestFit="1" customWidth="1"/>
    <col min="4" max="4" width="2.7109375" customWidth="1"/>
    <col min="5" max="5" width="12.7109375" bestFit="1" customWidth="1"/>
    <col min="6" max="7" width="15.5703125" customWidth="1"/>
    <col min="8" max="8" width="2.7109375" customWidth="1"/>
    <col min="9" max="11" width="15.5703125" customWidth="1"/>
    <col min="12" max="12" width="2.7109375" customWidth="1"/>
    <col min="13" max="13" width="92.28515625" bestFit="1" customWidth="1"/>
    <col min="14" max="14" width="2.7109375" customWidth="1"/>
    <col min="15" max="15" width="15" bestFit="1" customWidth="1"/>
  </cols>
  <sheetData>
    <row r="2" spans="2:15" ht="21" x14ac:dyDescent="0.35">
      <c r="B2" s="261" t="s">
        <v>0</v>
      </c>
      <c r="C2" s="4"/>
    </row>
    <row r="3" spans="2:15" ht="21" x14ac:dyDescent="0.35">
      <c r="B3" s="203" t="s">
        <v>788</v>
      </c>
      <c r="C3" s="4"/>
    </row>
    <row r="4" spans="2:15" x14ac:dyDescent="0.25">
      <c r="C4" s="4"/>
    </row>
    <row r="5" spans="2:15" x14ac:dyDescent="0.25">
      <c r="C5" s="4"/>
    </row>
    <row r="6" spans="2:15" x14ac:dyDescent="0.25">
      <c r="D6" s="8"/>
      <c r="E6" s="1052" t="s">
        <v>586</v>
      </c>
      <c r="F6" s="1052"/>
      <c r="G6" s="1052"/>
      <c r="I6" s="1052" t="s">
        <v>585</v>
      </c>
      <c r="J6" s="1052"/>
      <c r="K6" s="1052"/>
      <c r="L6" s="8"/>
    </row>
    <row r="7" spans="2:15" ht="30" x14ac:dyDescent="0.35">
      <c r="C7" s="631" t="s">
        <v>569</v>
      </c>
      <c r="E7" s="632" t="s">
        <v>182</v>
      </c>
      <c r="F7" s="632" t="s">
        <v>570</v>
      </c>
      <c r="G7" s="632" t="s">
        <v>571</v>
      </c>
      <c r="I7" s="632" t="s">
        <v>182</v>
      </c>
      <c r="J7" s="632" t="s">
        <v>570</v>
      </c>
      <c r="K7" s="632" t="s">
        <v>571</v>
      </c>
      <c r="M7" s="763" t="s">
        <v>665</v>
      </c>
    </row>
    <row r="8" spans="2:15" x14ac:dyDescent="0.25">
      <c r="C8" s="633"/>
      <c r="E8" s="633" t="s">
        <v>572</v>
      </c>
      <c r="F8" s="633" t="s">
        <v>573</v>
      </c>
      <c r="G8" s="633" t="s">
        <v>574</v>
      </c>
      <c r="I8" s="633" t="s">
        <v>572</v>
      </c>
      <c r="J8" s="633" t="s">
        <v>573</v>
      </c>
      <c r="K8" s="633" t="s">
        <v>574</v>
      </c>
    </row>
    <row r="9" spans="2:15" x14ac:dyDescent="0.25">
      <c r="C9" s="634" t="s">
        <v>575</v>
      </c>
      <c r="E9" s="635">
        <f>I9-(Budget!G6/1000)</f>
        <v>40768.273807494348</v>
      </c>
      <c r="F9" s="635">
        <f>J9-(Budget!G13/1000)</f>
        <v>15392.509145839867</v>
      </c>
      <c r="G9" s="635">
        <f>K9</f>
        <v>20415.018626665795</v>
      </c>
      <c r="I9" s="635">
        <v>42665.076459494347</v>
      </c>
      <c r="J9" s="635">
        <v>18509.837263839869</v>
      </c>
      <c r="K9" s="635">
        <v>20415.018626665795</v>
      </c>
      <c r="M9" s="6" t="s">
        <v>666</v>
      </c>
      <c r="O9" s="4"/>
    </row>
    <row r="10" spans="2:15" x14ac:dyDescent="0.25">
      <c r="C10" s="634" t="s">
        <v>576</v>
      </c>
      <c r="E10" s="635">
        <f t="shared" ref="E10:F13" si="0">I10</f>
        <v>-2825.4562579677445</v>
      </c>
      <c r="F10" s="635">
        <f t="shared" si="0"/>
        <v>-229.28211121870211</v>
      </c>
      <c r="G10" s="635">
        <f>K10</f>
        <v>-1807.4993908135539</v>
      </c>
      <c r="I10" s="635">
        <v>-2825.4562579677445</v>
      </c>
      <c r="J10" s="635">
        <v>-229.28211121870211</v>
      </c>
      <c r="K10" s="635">
        <v>-1807.4993908135539</v>
      </c>
      <c r="M10" s="6" t="s">
        <v>676</v>
      </c>
      <c r="O10" s="126"/>
    </row>
    <row r="11" spans="2:15" x14ac:dyDescent="0.25">
      <c r="C11" s="634" t="s">
        <v>577</v>
      </c>
      <c r="E11" s="635">
        <f t="shared" si="0"/>
        <v>-6368.7677663599479</v>
      </c>
      <c r="F11" s="635">
        <f t="shared" si="0"/>
        <v>-441.31558348413972</v>
      </c>
      <c r="G11" s="635">
        <f>K11</f>
        <v>-4601.3548401559119</v>
      </c>
      <c r="I11" s="635">
        <v>-6368.7677663599479</v>
      </c>
      <c r="J11" s="635">
        <v>-441.31558348413972</v>
      </c>
      <c r="K11" s="635">
        <v>-4601.3548401559119</v>
      </c>
      <c r="M11" s="6" t="s">
        <v>674</v>
      </c>
      <c r="O11" s="4"/>
    </row>
    <row r="12" spans="2:15" x14ac:dyDescent="0.25">
      <c r="C12" s="634" t="s">
        <v>578</v>
      </c>
      <c r="E12" s="635">
        <f t="shared" si="0"/>
        <v>-6674.1453817335578</v>
      </c>
      <c r="F12" s="635">
        <f t="shared" si="0"/>
        <v>2040.5092545776811</v>
      </c>
      <c r="G12" s="635">
        <f>K12</f>
        <v>-13379.808470884624</v>
      </c>
      <c r="I12" s="635">
        <v>-6674.1453817335578</v>
      </c>
      <c r="J12" s="635">
        <v>2040.5092545776811</v>
      </c>
      <c r="K12" s="635">
        <v>-13379.808470884624</v>
      </c>
      <c r="M12" s="6" t="s">
        <v>687</v>
      </c>
    </row>
    <row r="13" spans="2:15" ht="16.5" x14ac:dyDescent="0.35">
      <c r="C13" s="634" t="s">
        <v>579</v>
      </c>
      <c r="E13" s="636">
        <f t="shared" si="0"/>
        <v>-198.29108713994671</v>
      </c>
      <c r="F13" s="636">
        <f t="shared" si="0"/>
        <v>-66.66850500000001</v>
      </c>
      <c r="G13" s="636">
        <f>K13</f>
        <v>-401.72545786005327</v>
      </c>
      <c r="I13" s="636">
        <v>-198.29108713994671</v>
      </c>
      <c r="J13" s="636">
        <v>-66.66850500000001</v>
      </c>
      <c r="K13" s="636">
        <v>-401.72545786005327</v>
      </c>
      <c r="M13" s="764" t="s">
        <v>675</v>
      </c>
    </row>
    <row r="14" spans="2:15" x14ac:dyDescent="0.25">
      <c r="C14" s="634" t="s">
        <v>580</v>
      </c>
      <c r="E14" s="635">
        <f>SUM(E9:E13)</f>
        <v>24701.613314293154</v>
      </c>
      <c r="F14" s="635">
        <f>SUM(F9:F13)</f>
        <v>16695.752200714705</v>
      </c>
      <c r="G14" s="635">
        <f>SUM(G9:G13)</f>
        <v>224.63046695165025</v>
      </c>
      <c r="I14" s="635">
        <f>SUM(I9:I13)</f>
        <v>26598.415966293152</v>
      </c>
      <c r="J14" s="635">
        <f>SUM(J9:J13)</f>
        <v>19813.08031871471</v>
      </c>
      <c r="K14" s="635">
        <f>SUM(K9:K13)</f>
        <v>224.63046695165025</v>
      </c>
      <c r="M14" t="s">
        <v>667</v>
      </c>
    </row>
    <row r="15" spans="2:15" x14ac:dyDescent="0.25">
      <c r="C15" s="634" t="s">
        <v>669</v>
      </c>
      <c r="E15" s="637">
        <f>I15</f>
        <v>1071296937</v>
      </c>
      <c r="F15" s="637">
        <f>J15</f>
        <v>86831020</v>
      </c>
      <c r="G15" s="637">
        <f>K15</f>
        <v>697802438.11599982</v>
      </c>
      <c r="I15" s="637">
        <v>1071296937</v>
      </c>
      <c r="J15" s="637">
        <v>86831020</v>
      </c>
      <c r="K15" s="637">
        <v>697802438.11599982</v>
      </c>
      <c r="M15" t="s">
        <v>677</v>
      </c>
      <c r="O15" s="4"/>
    </row>
    <row r="16" spans="2:15" x14ac:dyDescent="0.25">
      <c r="C16" s="634" t="s">
        <v>581</v>
      </c>
      <c r="E16" s="638">
        <f>ROUND(E14*1000/E15,5)</f>
        <v>2.3060000000000001E-2</v>
      </c>
      <c r="F16" s="638"/>
      <c r="G16" s="638">
        <f>ROUND(G14*1000/G15,5)</f>
        <v>3.2000000000000003E-4</v>
      </c>
      <c r="I16" s="638">
        <f>ROUND(I14*1000/I15,5)</f>
        <v>2.4830000000000001E-2</v>
      </c>
      <c r="J16" s="638"/>
      <c r="K16" s="638">
        <f>ROUND(K14*1000/K15,5)</f>
        <v>3.2000000000000003E-4</v>
      </c>
      <c r="M16" t="s">
        <v>668</v>
      </c>
    </row>
    <row r="17" spans="3:15" x14ac:dyDescent="0.25">
      <c r="C17" s="634" t="s">
        <v>582</v>
      </c>
      <c r="E17" s="639">
        <f>I17</f>
        <v>0.50795000000000001</v>
      </c>
      <c r="F17" s="640"/>
      <c r="G17" s="639">
        <f>K17</f>
        <v>0.49204999999999999</v>
      </c>
      <c r="I17" s="639">
        <v>0.50795000000000001</v>
      </c>
      <c r="J17" s="640"/>
      <c r="K17" s="639">
        <v>0.49204999999999999</v>
      </c>
      <c r="M17" s="6" t="s">
        <v>678</v>
      </c>
    </row>
    <row r="18" spans="3:15" x14ac:dyDescent="0.25">
      <c r="C18" s="634" t="s">
        <v>583</v>
      </c>
      <c r="E18" s="635">
        <f>E17*F14</f>
        <v>8480.6073303530356</v>
      </c>
      <c r="F18" s="641"/>
      <c r="G18" s="635">
        <f>G17*F14</f>
        <v>8215.1448703616697</v>
      </c>
      <c r="I18" s="635">
        <f>I17*J14</f>
        <v>10064.054147891138</v>
      </c>
      <c r="J18" s="641"/>
      <c r="K18" s="635">
        <f>K17*J14</f>
        <v>9749.0261708235721</v>
      </c>
      <c r="M18" t="s">
        <v>672</v>
      </c>
    </row>
    <row r="19" spans="3:15" x14ac:dyDescent="0.25">
      <c r="C19" s="634" t="s">
        <v>584</v>
      </c>
      <c r="E19" s="635">
        <f>E14+E18</f>
        <v>33182.220644646193</v>
      </c>
      <c r="F19" s="641"/>
      <c r="G19" s="635">
        <f>G14+G18</f>
        <v>8439.7753373133201</v>
      </c>
      <c r="I19" s="635">
        <f>I14+I18</f>
        <v>36662.470114184289</v>
      </c>
      <c r="J19" s="641"/>
      <c r="K19" s="635">
        <f>K14+K18</f>
        <v>9973.6566377752224</v>
      </c>
      <c r="M19" t="s">
        <v>670</v>
      </c>
    </row>
    <row r="20" spans="3:15" x14ac:dyDescent="0.25">
      <c r="C20" s="634" t="s">
        <v>669</v>
      </c>
      <c r="E20" s="637">
        <f>E15+F15</f>
        <v>1158127957</v>
      </c>
      <c r="F20" s="642"/>
      <c r="G20" s="637">
        <f>G15</f>
        <v>697802438.11599982</v>
      </c>
      <c r="I20" s="637">
        <f>I15+J15</f>
        <v>1158127957</v>
      </c>
      <c r="J20" s="642"/>
      <c r="K20" s="637">
        <f>K15</f>
        <v>697802438.11599982</v>
      </c>
      <c r="M20" t="s">
        <v>673</v>
      </c>
    </row>
    <row r="21" spans="3:15" x14ac:dyDescent="0.25">
      <c r="C21" s="634"/>
      <c r="E21" s="637"/>
      <c r="F21" s="642"/>
      <c r="G21" s="637"/>
      <c r="I21" s="637"/>
      <c r="J21" s="642"/>
      <c r="K21" s="637"/>
    </row>
    <row r="22" spans="3:15" x14ac:dyDescent="0.25">
      <c r="C22" s="634" t="s">
        <v>688</v>
      </c>
      <c r="E22" s="643">
        <f>ROUND((E19*1000/E20),5)</f>
        <v>2.8649999999999998E-2</v>
      </c>
      <c r="F22" s="643">
        <f>E22</f>
        <v>2.8649999999999998E-2</v>
      </c>
      <c r="G22" s="643">
        <f>ROUND((G19*1000/G20),5)</f>
        <v>1.209E-2</v>
      </c>
      <c r="I22" s="643">
        <f>ROUND((I19*1000/I20),5)</f>
        <v>3.1660000000000001E-2</v>
      </c>
      <c r="J22" s="643">
        <f>I22</f>
        <v>3.1660000000000001E-2</v>
      </c>
      <c r="K22" s="643">
        <f>ROUND((K19*1000/K20),5)</f>
        <v>1.4290000000000001E-2</v>
      </c>
      <c r="M22" t="s">
        <v>668</v>
      </c>
    </row>
    <row r="23" spans="3:15" x14ac:dyDescent="0.25">
      <c r="C23" s="634" t="s">
        <v>686</v>
      </c>
      <c r="I23" s="643">
        <f>I22-E22</f>
        <v>3.0100000000000023E-3</v>
      </c>
      <c r="J23" s="643">
        <f>J22-F22</f>
        <v>3.0100000000000023E-3</v>
      </c>
      <c r="K23" s="643">
        <f>K22-G22</f>
        <v>2.2000000000000006E-3</v>
      </c>
    </row>
    <row r="24" spans="3:15" x14ac:dyDescent="0.25">
      <c r="K24" s="913"/>
    </row>
    <row r="25" spans="3:15" x14ac:dyDescent="0.25">
      <c r="C25" s="7" t="s">
        <v>33</v>
      </c>
      <c r="O25" s="44"/>
    </row>
    <row r="26" spans="3:15" x14ac:dyDescent="0.25">
      <c r="C26" s="6" t="s">
        <v>796</v>
      </c>
    </row>
    <row r="27" spans="3:15" x14ac:dyDescent="0.25">
      <c r="C27" s="6" t="s">
        <v>679</v>
      </c>
    </row>
    <row r="28" spans="3:15" x14ac:dyDescent="0.25">
      <c r="C28" s="6" t="s">
        <v>797</v>
      </c>
    </row>
    <row r="30" spans="3:15" x14ac:dyDescent="0.25">
      <c r="I30" s="916"/>
    </row>
    <row r="31" spans="3:15" x14ac:dyDescent="0.25">
      <c r="I31" s="843"/>
    </row>
    <row r="32" spans="3:15" x14ac:dyDescent="0.25">
      <c r="E32" s="44"/>
      <c r="F32" s="44"/>
      <c r="G32" s="44"/>
      <c r="I32" s="843"/>
    </row>
    <row r="33" spans="3:7" x14ac:dyDescent="0.25">
      <c r="E33" s="44"/>
      <c r="F33" s="44"/>
      <c r="G33" s="44"/>
    </row>
    <row r="34" spans="3:7" x14ac:dyDescent="0.25">
      <c r="E34" s="912"/>
      <c r="F34" s="912"/>
      <c r="G34" s="912"/>
    </row>
    <row r="35" spans="3:7" x14ac:dyDescent="0.25">
      <c r="E35" s="44"/>
      <c r="F35" s="44"/>
      <c r="G35" s="44"/>
    </row>
    <row r="36" spans="3:7" x14ac:dyDescent="0.25">
      <c r="C36" s="634"/>
      <c r="E36" s="915"/>
      <c r="F36" s="915"/>
      <c r="G36" s="915"/>
    </row>
    <row r="37" spans="3:7" x14ac:dyDescent="0.25">
      <c r="E37" s="912"/>
      <c r="F37" s="912"/>
      <c r="G37" s="914"/>
    </row>
    <row r="38" spans="3:7" x14ac:dyDescent="0.25">
      <c r="E38" s="912"/>
      <c r="F38" s="912"/>
      <c r="G38" s="914"/>
    </row>
    <row r="39" spans="3:7" x14ac:dyDescent="0.25">
      <c r="E39" s="44"/>
    </row>
    <row r="40" spans="3:7" x14ac:dyDescent="0.25">
      <c r="E40" s="44"/>
    </row>
  </sheetData>
  <mergeCells count="2">
    <mergeCell ref="I6:K6"/>
    <mergeCell ref="E6:G6"/>
  </mergeCells>
  <pageMargins left="0.7" right="0.7" top="0.75" bottom="0.75" header="0.3" footer="0.3"/>
  <pageSetup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4CDDD-1417-4ECF-B9C1-60CE64FC40DD}">
  <sheetPr codeName="Sheet30">
    <tabColor theme="7"/>
  </sheetPr>
  <dimension ref="B2:L50"/>
  <sheetViews>
    <sheetView showGridLines="0" zoomScale="85" zoomScaleNormal="85" workbookViewId="0"/>
  </sheetViews>
  <sheetFormatPr defaultRowHeight="12.75" x14ac:dyDescent="0.2"/>
  <cols>
    <col min="1" max="1" width="3" style="644" customWidth="1"/>
    <col min="2" max="2" width="44.85546875" style="644" customWidth="1"/>
    <col min="3" max="3" width="5.28515625" style="644" customWidth="1"/>
    <col min="4" max="4" width="9.5703125" style="644" bestFit="1" customWidth="1"/>
    <col min="5" max="5" width="9.28515625" style="644" customWidth="1"/>
    <col min="6" max="9" width="15.5703125" style="644" customWidth="1"/>
    <col min="10" max="10" width="2.5703125" style="644" customWidth="1"/>
    <col min="11" max="222" width="9.140625" style="644"/>
    <col min="223" max="223" width="18.5703125" style="644" customWidth="1"/>
    <col min="224" max="224" width="45.140625" style="644" customWidth="1"/>
    <col min="225" max="225" width="13" style="644" customWidth="1"/>
    <col min="226" max="226" width="10.85546875" style="644" customWidth="1"/>
    <col min="227" max="227" width="12.140625" style="644" customWidth="1"/>
    <col min="228" max="228" width="13.140625" style="644" customWidth="1"/>
    <col min="229" max="229" width="12.140625" style="644" customWidth="1"/>
    <col min="230" max="231" width="17.5703125" style="644" customWidth="1"/>
    <col min="232" max="233" width="17" style="644" customWidth="1"/>
    <col min="234" max="235" width="12.28515625" style="644" customWidth="1"/>
    <col min="236" max="236" width="1.85546875" style="644" customWidth="1"/>
    <col min="237" max="238" width="23.85546875" style="644" customWidth="1"/>
    <col min="239" max="242" width="16.28515625" style="644" customWidth="1"/>
    <col min="243" max="478" width="9.140625" style="644"/>
    <col min="479" max="479" width="18.5703125" style="644" customWidth="1"/>
    <col min="480" max="480" width="45.140625" style="644" customWidth="1"/>
    <col min="481" max="481" width="13" style="644" customWidth="1"/>
    <col min="482" max="482" width="10.85546875" style="644" customWidth="1"/>
    <col min="483" max="483" width="12.140625" style="644" customWidth="1"/>
    <col min="484" max="484" width="13.140625" style="644" customWidth="1"/>
    <col min="485" max="485" width="12.140625" style="644" customWidth="1"/>
    <col min="486" max="487" width="17.5703125" style="644" customWidth="1"/>
    <col min="488" max="489" width="17" style="644" customWidth="1"/>
    <col min="490" max="491" width="12.28515625" style="644" customWidth="1"/>
    <col min="492" max="492" width="1.85546875" style="644" customWidth="1"/>
    <col min="493" max="494" width="23.85546875" style="644" customWidth="1"/>
    <col min="495" max="498" width="16.28515625" style="644" customWidth="1"/>
    <col min="499" max="734" width="9.140625" style="644"/>
    <col min="735" max="735" width="18.5703125" style="644" customWidth="1"/>
    <col min="736" max="736" width="45.140625" style="644" customWidth="1"/>
    <col min="737" max="737" width="13" style="644" customWidth="1"/>
    <col min="738" max="738" width="10.85546875" style="644" customWidth="1"/>
    <col min="739" max="739" width="12.140625" style="644" customWidth="1"/>
    <col min="740" max="740" width="13.140625" style="644" customWidth="1"/>
    <col min="741" max="741" width="12.140625" style="644" customWidth="1"/>
    <col min="742" max="743" width="17.5703125" style="644" customWidth="1"/>
    <col min="744" max="745" width="17" style="644" customWidth="1"/>
    <col min="746" max="747" width="12.28515625" style="644" customWidth="1"/>
    <col min="748" max="748" width="1.85546875" style="644" customWidth="1"/>
    <col min="749" max="750" width="23.85546875" style="644" customWidth="1"/>
    <col min="751" max="754" width="16.28515625" style="644" customWidth="1"/>
    <col min="755" max="990" width="9.140625" style="644"/>
    <col min="991" max="991" width="18.5703125" style="644" customWidth="1"/>
    <col min="992" max="992" width="45.140625" style="644" customWidth="1"/>
    <col min="993" max="993" width="13" style="644" customWidth="1"/>
    <col min="994" max="994" width="10.85546875" style="644" customWidth="1"/>
    <col min="995" max="995" width="12.140625" style="644" customWidth="1"/>
    <col min="996" max="996" width="13.140625" style="644" customWidth="1"/>
    <col min="997" max="997" width="12.140625" style="644" customWidth="1"/>
    <col min="998" max="999" width="17.5703125" style="644" customWidth="1"/>
    <col min="1000" max="1001" width="17" style="644" customWidth="1"/>
    <col min="1002" max="1003" width="12.28515625" style="644" customWidth="1"/>
    <col min="1004" max="1004" width="1.85546875" style="644" customWidth="1"/>
    <col min="1005" max="1006" width="23.85546875" style="644" customWidth="1"/>
    <col min="1007" max="1010" width="16.28515625" style="644" customWidth="1"/>
    <col min="1011" max="1246" width="9.140625" style="644"/>
    <col min="1247" max="1247" width="18.5703125" style="644" customWidth="1"/>
    <col min="1248" max="1248" width="45.140625" style="644" customWidth="1"/>
    <col min="1249" max="1249" width="13" style="644" customWidth="1"/>
    <col min="1250" max="1250" width="10.85546875" style="644" customWidth="1"/>
    <col min="1251" max="1251" width="12.140625" style="644" customWidth="1"/>
    <col min="1252" max="1252" width="13.140625" style="644" customWidth="1"/>
    <col min="1253" max="1253" width="12.140625" style="644" customWidth="1"/>
    <col min="1254" max="1255" width="17.5703125" style="644" customWidth="1"/>
    <col min="1256" max="1257" width="17" style="644" customWidth="1"/>
    <col min="1258" max="1259" width="12.28515625" style="644" customWidth="1"/>
    <col min="1260" max="1260" width="1.85546875" style="644" customWidth="1"/>
    <col min="1261" max="1262" width="23.85546875" style="644" customWidth="1"/>
    <col min="1263" max="1266" width="16.28515625" style="644" customWidth="1"/>
    <col min="1267" max="1502" width="9.140625" style="644"/>
    <col min="1503" max="1503" width="18.5703125" style="644" customWidth="1"/>
    <col min="1504" max="1504" width="45.140625" style="644" customWidth="1"/>
    <col min="1505" max="1505" width="13" style="644" customWidth="1"/>
    <col min="1506" max="1506" width="10.85546875" style="644" customWidth="1"/>
    <col min="1507" max="1507" width="12.140625" style="644" customWidth="1"/>
    <col min="1508" max="1508" width="13.140625" style="644" customWidth="1"/>
    <col min="1509" max="1509" width="12.140625" style="644" customWidth="1"/>
    <col min="1510" max="1511" width="17.5703125" style="644" customWidth="1"/>
    <col min="1512" max="1513" width="17" style="644" customWidth="1"/>
    <col min="1514" max="1515" width="12.28515625" style="644" customWidth="1"/>
    <col min="1516" max="1516" width="1.85546875" style="644" customWidth="1"/>
    <col min="1517" max="1518" width="23.85546875" style="644" customWidth="1"/>
    <col min="1519" max="1522" width="16.28515625" style="644" customWidth="1"/>
    <col min="1523" max="1758" width="9.140625" style="644"/>
    <col min="1759" max="1759" width="18.5703125" style="644" customWidth="1"/>
    <col min="1760" max="1760" width="45.140625" style="644" customWidth="1"/>
    <col min="1761" max="1761" width="13" style="644" customWidth="1"/>
    <col min="1762" max="1762" width="10.85546875" style="644" customWidth="1"/>
    <col min="1763" max="1763" width="12.140625" style="644" customWidth="1"/>
    <col min="1764" max="1764" width="13.140625" style="644" customWidth="1"/>
    <col min="1765" max="1765" width="12.140625" style="644" customWidth="1"/>
    <col min="1766" max="1767" width="17.5703125" style="644" customWidth="1"/>
    <col min="1768" max="1769" width="17" style="644" customWidth="1"/>
    <col min="1770" max="1771" width="12.28515625" style="644" customWidth="1"/>
    <col min="1772" max="1772" width="1.85546875" style="644" customWidth="1"/>
    <col min="1773" max="1774" width="23.85546875" style="644" customWidth="1"/>
    <col min="1775" max="1778" width="16.28515625" style="644" customWidth="1"/>
    <col min="1779" max="2014" width="9.140625" style="644"/>
    <col min="2015" max="2015" width="18.5703125" style="644" customWidth="1"/>
    <col min="2016" max="2016" width="45.140625" style="644" customWidth="1"/>
    <col min="2017" max="2017" width="13" style="644" customWidth="1"/>
    <col min="2018" max="2018" width="10.85546875" style="644" customWidth="1"/>
    <col min="2019" max="2019" width="12.140625" style="644" customWidth="1"/>
    <col min="2020" max="2020" width="13.140625" style="644" customWidth="1"/>
    <col min="2021" max="2021" width="12.140625" style="644" customWidth="1"/>
    <col min="2022" max="2023" width="17.5703125" style="644" customWidth="1"/>
    <col min="2024" max="2025" width="17" style="644" customWidth="1"/>
    <col min="2026" max="2027" width="12.28515625" style="644" customWidth="1"/>
    <col min="2028" max="2028" width="1.85546875" style="644" customWidth="1"/>
    <col min="2029" max="2030" width="23.85546875" style="644" customWidth="1"/>
    <col min="2031" max="2034" width="16.28515625" style="644" customWidth="1"/>
    <col min="2035" max="2270" width="9.140625" style="644"/>
    <col min="2271" max="2271" width="18.5703125" style="644" customWidth="1"/>
    <col min="2272" max="2272" width="45.140625" style="644" customWidth="1"/>
    <col min="2273" max="2273" width="13" style="644" customWidth="1"/>
    <col min="2274" max="2274" width="10.85546875" style="644" customWidth="1"/>
    <col min="2275" max="2275" width="12.140625" style="644" customWidth="1"/>
    <col min="2276" max="2276" width="13.140625" style="644" customWidth="1"/>
    <col min="2277" max="2277" width="12.140625" style="644" customWidth="1"/>
    <col min="2278" max="2279" width="17.5703125" style="644" customWidth="1"/>
    <col min="2280" max="2281" width="17" style="644" customWidth="1"/>
    <col min="2282" max="2283" width="12.28515625" style="644" customWidth="1"/>
    <col min="2284" max="2284" width="1.85546875" style="644" customWidth="1"/>
    <col min="2285" max="2286" width="23.85546875" style="644" customWidth="1"/>
    <col min="2287" max="2290" width="16.28515625" style="644" customWidth="1"/>
    <col min="2291" max="2526" width="9.140625" style="644"/>
    <col min="2527" max="2527" width="18.5703125" style="644" customWidth="1"/>
    <col min="2528" max="2528" width="45.140625" style="644" customWidth="1"/>
    <col min="2529" max="2529" width="13" style="644" customWidth="1"/>
    <col min="2530" max="2530" width="10.85546875" style="644" customWidth="1"/>
    <col min="2531" max="2531" width="12.140625" style="644" customWidth="1"/>
    <col min="2532" max="2532" width="13.140625" style="644" customWidth="1"/>
    <col min="2533" max="2533" width="12.140625" style="644" customWidth="1"/>
    <col min="2534" max="2535" width="17.5703125" style="644" customWidth="1"/>
    <col min="2536" max="2537" width="17" style="644" customWidth="1"/>
    <col min="2538" max="2539" width="12.28515625" style="644" customWidth="1"/>
    <col min="2540" max="2540" width="1.85546875" style="644" customWidth="1"/>
    <col min="2541" max="2542" width="23.85546875" style="644" customWidth="1"/>
    <col min="2543" max="2546" width="16.28515625" style="644" customWidth="1"/>
    <col min="2547" max="2782" width="9.140625" style="644"/>
    <col min="2783" max="2783" width="18.5703125" style="644" customWidth="1"/>
    <col min="2784" max="2784" width="45.140625" style="644" customWidth="1"/>
    <col min="2785" max="2785" width="13" style="644" customWidth="1"/>
    <col min="2786" max="2786" width="10.85546875" style="644" customWidth="1"/>
    <col min="2787" max="2787" width="12.140625" style="644" customWidth="1"/>
    <col min="2788" max="2788" width="13.140625" style="644" customWidth="1"/>
    <col min="2789" max="2789" width="12.140625" style="644" customWidth="1"/>
    <col min="2790" max="2791" width="17.5703125" style="644" customWidth="1"/>
    <col min="2792" max="2793" width="17" style="644" customWidth="1"/>
    <col min="2794" max="2795" width="12.28515625" style="644" customWidth="1"/>
    <col min="2796" max="2796" width="1.85546875" style="644" customWidth="1"/>
    <col min="2797" max="2798" width="23.85546875" style="644" customWidth="1"/>
    <col min="2799" max="2802" width="16.28515625" style="644" customWidth="1"/>
    <col min="2803" max="3038" width="9.140625" style="644"/>
    <col min="3039" max="3039" width="18.5703125" style="644" customWidth="1"/>
    <col min="3040" max="3040" width="45.140625" style="644" customWidth="1"/>
    <col min="3041" max="3041" width="13" style="644" customWidth="1"/>
    <col min="3042" max="3042" width="10.85546875" style="644" customWidth="1"/>
    <col min="3043" max="3043" width="12.140625" style="644" customWidth="1"/>
    <col min="3044" max="3044" width="13.140625" style="644" customWidth="1"/>
    <col min="3045" max="3045" width="12.140625" style="644" customWidth="1"/>
    <col min="3046" max="3047" width="17.5703125" style="644" customWidth="1"/>
    <col min="3048" max="3049" width="17" style="644" customWidth="1"/>
    <col min="3050" max="3051" width="12.28515625" style="644" customWidth="1"/>
    <col min="3052" max="3052" width="1.85546875" style="644" customWidth="1"/>
    <col min="3053" max="3054" width="23.85546875" style="644" customWidth="1"/>
    <col min="3055" max="3058" width="16.28515625" style="644" customWidth="1"/>
    <col min="3059" max="3294" width="9.140625" style="644"/>
    <col min="3295" max="3295" width="18.5703125" style="644" customWidth="1"/>
    <col min="3296" max="3296" width="45.140625" style="644" customWidth="1"/>
    <col min="3297" max="3297" width="13" style="644" customWidth="1"/>
    <col min="3298" max="3298" width="10.85546875" style="644" customWidth="1"/>
    <col min="3299" max="3299" width="12.140625" style="644" customWidth="1"/>
    <col min="3300" max="3300" width="13.140625" style="644" customWidth="1"/>
    <col min="3301" max="3301" width="12.140625" style="644" customWidth="1"/>
    <col min="3302" max="3303" width="17.5703125" style="644" customWidth="1"/>
    <col min="3304" max="3305" width="17" style="644" customWidth="1"/>
    <col min="3306" max="3307" width="12.28515625" style="644" customWidth="1"/>
    <col min="3308" max="3308" width="1.85546875" style="644" customWidth="1"/>
    <col min="3309" max="3310" width="23.85546875" style="644" customWidth="1"/>
    <col min="3311" max="3314" width="16.28515625" style="644" customWidth="1"/>
    <col min="3315" max="3550" width="9.140625" style="644"/>
    <col min="3551" max="3551" width="18.5703125" style="644" customWidth="1"/>
    <col min="3552" max="3552" width="45.140625" style="644" customWidth="1"/>
    <col min="3553" max="3553" width="13" style="644" customWidth="1"/>
    <col min="3554" max="3554" width="10.85546875" style="644" customWidth="1"/>
    <col min="3555" max="3555" width="12.140625" style="644" customWidth="1"/>
    <col min="3556" max="3556" width="13.140625" style="644" customWidth="1"/>
    <col min="3557" max="3557" width="12.140625" style="644" customWidth="1"/>
    <col min="3558" max="3559" width="17.5703125" style="644" customWidth="1"/>
    <col min="3560" max="3561" width="17" style="644" customWidth="1"/>
    <col min="3562" max="3563" width="12.28515625" style="644" customWidth="1"/>
    <col min="3564" max="3564" width="1.85546875" style="644" customWidth="1"/>
    <col min="3565" max="3566" width="23.85546875" style="644" customWidth="1"/>
    <col min="3567" max="3570" width="16.28515625" style="644" customWidth="1"/>
    <col min="3571" max="3806" width="9.140625" style="644"/>
    <col min="3807" max="3807" width="18.5703125" style="644" customWidth="1"/>
    <col min="3808" max="3808" width="45.140625" style="644" customWidth="1"/>
    <col min="3809" max="3809" width="13" style="644" customWidth="1"/>
    <col min="3810" max="3810" width="10.85546875" style="644" customWidth="1"/>
    <col min="3811" max="3811" width="12.140625" style="644" customWidth="1"/>
    <col min="3812" max="3812" width="13.140625" style="644" customWidth="1"/>
    <col min="3813" max="3813" width="12.140625" style="644" customWidth="1"/>
    <col min="3814" max="3815" width="17.5703125" style="644" customWidth="1"/>
    <col min="3816" max="3817" width="17" style="644" customWidth="1"/>
    <col min="3818" max="3819" width="12.28515625" style="644" customWidth="1"/>
    <col min="3820" max="3820" width="1.85546875" style="644" customWidth="1"/>
    <col min="3821" max="3822" width="23.85546875" style="644" customWidth="1"/>
    <col min="3823" max="3826" width="16.28515625" style="644" customWidth="1"/>
    <col min="3827" max="4062" width="9.140625" style="644"/>
    <col min="4063" max="4063" width="18.5703125" style="644" customWidth="1"/>
    <col min="4064" max="4064" width="45.140625" style="644" customWidth="1"/>
    <col min="4065" max="4065" width="13" style="644" customWidth="1"/>
    <col min="4066" max="4066" width="10.85546875" style="644" customWidth="1"/>
    <col min="4067" max="4067" width="12.140625" style="644" customWidth="1"/>
    <col min="4068" max="4068" width="13.140625" style="644" customWidth="1"/>
    <col min="4069" max="4069" width="12.140625" style="644" customWidth="1"/>
    <col min="4070" max="4071" width="17.5703125" style="644" customWidth="1"/>
    <col min="4072" max="4073" width="17" style="644" customWidth="1"/>
    <col min="4074" max="4075" width="12.28515625" style="644" customWidth="1"/>
    <col min="4076" max="4076" width="1.85546875" style="644" customWidth="1"/>
    <col min="4077" max="4078" width="23.85546875" style="644" customWidth="1"/>
    <col min="4079" max="4082" width="16.28515625" style="644" customWidth="1"/>
    <col min="4083" max="4318" width="9.140625" style="644"/>
    <col min="4319" max="4319" width="18.5703125" style="644" customWidth="1"/>
    <col min="4320" max="4320" width="45.140625" style="644" customWidth="1"/>
    <col min="4321" max="4321" width="13" style="644" customWidth="1"/>
    <col min="4322" max="4322" width="10.85546875" style="644" customWidth="1"/>
    <col min="4323" max="4323" width="12.140625" style="644" customWidth="1"/>
    <col min="4324" max="4324" width="13.140625" style="644" customWidth="1"/>
    <col min="4325" max="4325" width="12.140625" style="644" customWidth="1"/>
    <col min="4326" max="4327" width="17.5703125" style="644" customWidth="1"/>
    <col min="4328" max="4329" width="17" style="644" customWidth="1"/>
    <col min="4330" max="4331" width="12.28515625" style="644" customWidth="1"/>
    <col min="4332" max="4332" width="1.85546875" style="644" customWidth="1"/>
    <col min="4333" max="4334" width="23.85546875" style="644" customWidth="1"/>
    <col min="4335" max="4338" width="16.28515625" style="644" customWidth="1"/>
    <col min="4339" max="4574" width="9.140625" style="644"/>
    <col min="4575" max="4575" width="18.5703125" style="644" customWidth="1"/>
    <col min="4576" max="4576" width="45.140625" style="644" customWidth="1"/>
    <col min="4577" max="4577" width="13" style="644" customWidth="1"/>
    <col min="4578" max="4578" width="10.85546875" style="644" customWidth="1"/>
    <col min="4579" max="4579" width="12.140625" style="644" customWidth="1"/>
    <col min="4580" max="4580" width="13.140625" style="644" customWidth="1"/>
    <col min="4581" max="4581" width="12.140625" style="644" customWidth="1"/>
    <col min="4582" max="4583" width="17.5703125" style="644" customWidth="1"/>
    <col min="4584" max="4585" width="17" style="644" customWidth="1"/>
    <col min="4586" max="4587" width="12.28515625" style="644" customWidth="1"/>
    <col min="4588" max="4588" width="1.85546875" style="644" customWidth="1"/>
    <col min="4589" max="4590" width="23.85546875" style="644" customWidth="1"/>
    <col min="4591" max="4594" width="16.28515625" style="644" customWidth="1"/>
    <col min="4595" max="4830" width="9.140625" style="644"/>
    <col min="4831" max="4831" width="18.5703125" style="644" customWidth="1"/>
    <col min="4832" max="4832" width="45.140625" style="644" customWidth="1"/>
    <col min="4833" max="4833" width="13" style="644" customWidth="1"/>
    <col min="4834" max="4834" width="10.85546875" style="644" customWidth="1"/>
    <col min="4835" max="4835" width="12.140625" style="644" customWidth="1"/>
    <col min="4836" max="4836" width="13.140625" style="644" customWidth="1"/>
    <col min="4837" max="4837" width="12.140625" style="644" customWidth="1"/>
    <col min="4838" max="4839" width="17.5703125" style="644" customWidth="1"/>
    <col min="4840" max="4841" width="17" style="644" customWidth="1"/>
    <col min="4842" max="4843" width="12.28515625" style="644" customWidth="1"/>
    <col min="4844" max="4844" width="1.85546875" style="644" customWidth="1"/>
    <col min="4845" max="4846" width="23.85546875" style="644" customWidth="1"/>
    <col min="4847" max="4850" width="16.28515625" style="644" customWidth="1"/>
    <col min="4851" max="5086" width="9.140625" style="644"/>
    <col min="5087" max="5087" width="18.5703125" style="644" customWidth="1"/>
    <col min="5088" max="5088" width="45.140625" style="644" customWidth="1"/>
    <col min="5089" max="5089" width="13" style="644" customWidth="1"/>
    <col min="5090" max="5090" width="10.85546875" style="644" customWidth="1"/>
    <col min="5091" max="5091" width="12.140625" style="644" customWidth="1"/>
    <col min="5092" max="5092" width="13.140625" style="644" customWidth="1"/>
    <col min="5093" max="5093" width="12.140625" style="644" customWidth="1"/>
    <col min="5094" max="5095" width="17.5703125" style="644" customWidth="1"/>
    <col min="5096" max="5097" width="17" style="644" customWidth="1"/>
    <col min="5098" max="5099" width="12.28515625" style="644" customWidth="1"/>
    <col min="5100" max="5100" width="1.85546875" style="644" customWidth="1"/>
    <col min="5101" max="5102" width="23.85546875" style="644" customWidth="1"/>
    <col min="5103" max="5106" width="16.28515625" style="644" customWidth="1"/>
    <col min="5107" max="5342" width="9.140625" style="644"/>
    <col min="5343" max="5343" width="18.5703125" style="644" customWidth="1"/>
    <col min="5344" max="5344" width="45.140625" style="644" customWidth="1"/>
    <col min="5345" max="5345" width="13" style="644" customWidth="1"/>
    <col min="5346" max="5346" width="10.85546875" style="644" customWidth="1"/>
    <col min="5347" max="5347" width="12.140625" style="644" customWidth="1"/>
    <col min="5348" max="5348" width="13.140625" style="644" customWidth="1"/>
    <col min="5349" max="5349" width="12.140625" style="644" customWidth="1"/>
    <col min="5350" max="5351" width="17.5703125" style="644" customWidth="1"/>
    <col min="5352" max="5353" width="17" style="644" customWidth="1"/>
    <col min="5354" max="5355" width="12.28515625" style="644" customWidth="1"/>
    <col min="5356" max="5356" width="1.85546875" style="644" customWidth="1"/>
    <col min="5357" max="5358" width="23.85546875" style="644" customWidth="1"/>
    <col min="5359" max="5362" width="16.28515625" style="644" customWidth="1"/>
    <col min="5363" max="5598" width="9.140625" style="644"/>
    <col min="5599" max="5599" width="18.5703125" style="644" customWidth="1"/>
    <col min="5600" max="5600" width="45.140625" style="644" customWidth="1"/>
    <col min="5601" max="5601" width="13" style="644" customWidth="1"/>
    <col min="5602" max="5602" width="10.85546875" style="644" customWidth="1"/>
    <col min="5603" max="5603" width="12.140625" style="644" customWidth="1"/>
    <col min="5604" max="5604" width="13.140625" style="644" customWidth="1"/>
    <col min="5605" max="5605" width="12.140625" style="644" customWidth="1"/>
    <col min="5606" max="5607" width="17.5703125" style="644" customWidth="1"/>
    <col min="5608" max="5609" width="17" style="644" customWidth="1"/>
    <col min="5610" max="5611" width="12.28515625" style="644" customWidth="1"/>
    <col min="5612" max="5612" width="1.85546875" style="644" customWidth="1"/>
    <col min="5613" max="5614" width="23.85546875" style="644" customWidth="1"/>
    <col min="5615" max="5618" width="16.28515625" style="644" customWidth="1"/>
    <col min="5619" max="5854" width="9.140625" style="644"/>
    <col min="5855" max="5855" width="18.5703125" style="644" customWidth="1"/>
    <col min="5856" max="5856" width="45.140625" style="644" customWidth="1"/>
    <col min="5857" max="5857" width="13" style="644" customWidth="1"/>
    <col min="5858" max="5858" width="10.85546875" style="644" customWidth="1"/>
    <col min="5859" max="5859" width="12.140625" style="644" customWidth="1"/>
    <col min="5860" max="5860" width="13.140625" style="644" customWidth="1"/>
    <col min="5861" max="5861" width="12.140625" style="644" customWidth="1"/>
    <col min="5862" max="5863" width="17.5703125" style="644" customWidth="1"/>
    <col min="5864" max="5865" width="17" style="644" customWidth="1"/>
    <col min="5866" max="5867" width="12.28515625" style="644" customWidth="1"/>
    <col min="5868" max="5868" width="1.85546875" style="644" customWidth="1"/>
    <col min="5869" max="5870" width="23.85546875" style="644" customWidth="1"/>
    <col min="5871" max="5874" width="16.28515625" style="644" customWidth="1"/>
    <col min="5875" max="6110" width="9.140625" style="644"/>
    <col min="6111" max="6111" width="18.5703125" style="644" customWidth="1"/>
    <col min="6112" max="6112" width="45.140625" style="644" customWidth="1"/>
    <col min="6113" max="6113" width="13" style="644" customWidth="1"/>
    <col min="6114" max="6114" width="10.85546875" style="644" customWidth="1"/>
    <col min="6115" max="6115" width="12.140625" style="644" customWidth="1"/>
    <col min="6116" max="6116" width="13.140625" style="644" customWidth="1"/>
    <col min="6117" max="6117" width="12.140625" style="644" customWidth="1"/>
    <col min="6118" max="6119" width="17.5703125" style="644" customWidth="1"/>
    <col min="6120" max="6121" width="17" style="644" customWidth="1"/>
    <col min="6122" max="6123" width="12.28515625" style="644" customWidth="1"/>
    <col min="6124" max="6124" width="1.85546875" style="644" customWidth="1"/>
    <col min="6125" max="6126" width="23.85546875" style="644" customWidth="1"/>
    <col min="6127" max="6130" width="16.28515625" style="644" customWidth="1"/>
    <col min="6131" max="6366" width="9.140625" style="644"/>
    <col min="6367" max="6367" width="18.5703125" style="644" customWidth="1"/>
    <col min="6368" max="6368" width="45.140625" style="644" customWidth="1"/>
    <col min="6369" max="6369" width="13" style="644" customWidth="1"/>
    <col min="6370" max="6370" width="10.85546875" style="644" customWidth="1"/>
    <col min="6371" max="6371" width="12.140625" style="644" customWidth="1"/>
    <col min="6372" max="6372" width="13.140625" style="644" customWidth="1"/>
    <col min="6373" max="6373" width="12.140625" style="644" customWidth="1"/>
    <col min="6374" max="6375" width="17.5703125" style="644" customWidth="1"/>
    <col min="6376" max="6377" width="17" style="644" customWidth="1"/>
    <col min="6378" max="6379" width="12.28515625" style="644" customWidth="1"/>
    <col min="6380" max="6380" width="1.85546875" style="644" customWidth="1"/>
    <col min="6381" max="6382" width="23.85546875" style="644" customWidth="1"/>
    <col min="6383" max="6386" width="16.28515625" style="644" customWidth="1"/>
    <col min="6387" max="6622" width="9.140625" style="644"/>
    <col min="6623" max="6623" width="18.5703125" style="644" customWidth="1"/>
    <col min="6624" max="6624" width="45.140625" style="644" customWidth="1"/>
    <col min="6625" max="6625" width="13" style="644" customWidth="1"/>
    <col min="6626" max="6626" width="10.85546875" style="644" customWidth="1"/>
    <col min="6627" max="6627" width="12.140625" style="644" customWidth="1"/>
    <col min="6628" max="6628" width="13.140625" style="644" customWidth="1"/>
    <col min="6629" max="6629" width="12.140625" style="644" customWidth="1"/>
    <col min="6630" max="6631" width="17.5703125" style="644" customWidth="1"/>
    <col min="6632" max="6633" width="17" style="644" customWidth="1"/>
    <col min="6634" max="6635" width="12.28515625" style="644" customWidth="1"/>
    <col min="6636" max="6636" width="1.85546875" style="644" customWidth="1"/>
    <col min="6637" max="6638" width="23.85546875" style="644" customWidth="1"/>
    <col min="6639" max="6642" width="16.28515625" style="644" customWidth="1"/>
    <col min="6643" max="6878" width="9.140625" style="644"/>
    <col min="6879" max="6879" width="18.5703125" style="644" customWidth="1"/>
    <col min="6880" max="6880" width="45.140625" style="644" customWidth="1"/>
    <col min="6881" max="6881" width="13" style="644" customWidth="1"/>
    <col min="6882" max="6882" width="10.85546875" style="644" customWidth="1"/>
    <col min="6883" max="6883" width="12.140625" style="644" customWidth="1"/>
    <col min="6884" max="6884" width="13.140625" style="644" customWidth="1"/>
    <col min="6885" max="6885" width="12.140625" style="644" customWidth="1"/>
    <col min="6886" max="6887" width="17.5703125" style="644" customWidth="1"/>
    <col min="6888" max="6889" width="17" style="644" customWidth="1"/>
    <col min="6890" max="6891" width="12.28515625" style="644" customWidth="1"/>
    <col min="6892" max="6892" width="1.85546875" style="644" customWidth="1"/>
    <col min="6893" max="6894" width="23.85546875" style="644" customWidth="1"/>
    <col min="6895" max="6898" width="16.28515625" style="644" customWidth="1"/>
    <col min="6899" max="7134" width="9.140625" style="644"/>
    <col min="7135" max="7135" width="18.5703125" style="644" customWidth="1"/>
    <col min="7136" max="7136" width="45.140625" style="644" customWidth="1"/>
    <col min="7137" max="7137" width="13" style="644" customWidth="1"/>
    <col min="7138" max="7138" width="10.85546875" style="644" customWidth="1"/>
    <col min="7139" max="7139" width="12.140625" style="644" customWidth="1"/>
    <col min="7140" max="7140" width="13.140625" style="644" customWidth="1"/>
    <col min="7141" max="7141" width="12.140625" style="644" customWidth="1"/>
    <col min="7142" max="7143" width="17.5703125" style="644" customWidth="1"/>
    <col min="7144" max="7145" width="17" style="644" customWidth="1"/>
    <col min="7146" max="7147" width="12.28515625" style="644" customWidth="1"/>
    <col min="7148" max="7148" width="1.85546875" style="644" customWidth="1"/>
    <col min="7149" max="7150" width="23.85546875" style="644" customWidth="1"/>
    <col min="7151" max="7154" width="16.28515625" style="644" customWidth="1"/>
    <col min="7155" max="7390" width="9.140625" style="644"/>
    <col min="7391" max="7391" width="18.5703125" style="644" customWidth="1"/>
    <col min="7392" max="7392" width="45.140625" style="644" customWidth="1"/>
    <col min="7393" max="7393" width="13" style="644" customWidth="1"/>
    <col min="7394" max="7394" width="10.85546875" style="644" customWidth="1"/>
    <col min="7395" max="7395" width="12.140625" style="644" customWidth="1"/>
    <col min="7396" max="7396" width="13.140625" style="644" customWidth="1"/>
    <col min="7397" max="7397" width="12.140625" style="644" customWidth="1"/>
    <col min="7398" max="7399" width="17.5703125" style="644" customWidth="1"/>
    <col min="7400" max="7401" width="17" style="644" customWidth="1"/>
    <col min="7402" max="7403" width="12.28515625" style="644" customWidth="1"/>
    <col min="7404" max="7404" width="1.85546875" style="644" customWidth="1"/>
    <col min="7405" max="7406" width="23.85546875" style="644" customWidth="1"/>
    <col min="7407" max="7410" width="16.28515625" style="644" customWidth="1"/>
    <col min="7411" max="7646" width="9.140625" style="644"/>
    <col min="7647" max="7647" width="18.5703125" style="644" customWidth="1"/>
    <col min="7648" max="7648" width="45.140625" style="644" customWidth="1"/>
    <col min="7649" max="7649" width="13" style="644" customWidth="1"/>
    <col min="7650" max="7650" width="10.85546875" style="644" customWidth="1"/>
    <col min="7651" max="7651" width="12.140625" style="644" customWidth="1"/>
    <col min="7652" max="7652" width="13.140625" style="644" customWidth="1"/>
    <col min="7653" max="7653" width="12.140625" style="644" customWidth="1"/>
    <col min="7654" max="7655" width="17.5703125" style="644" customWidth="1"/>
    <col min="7656" max="7657" width="17" style="644" customWidth="1"/>
    <col min="7658" max="7659" width="12.28515625" style="644" customWidth="1"/>
    <col min="7660" max="7660" width="1.85546875" style="644" customWidth="1"/>
    <col min="7661" max="7662" width="23.85546875" style="644" customWidth="1"/>
    <col min="7663" max="7666" width="16.28515625" style="644" customWidth="1"/>
    <col min="7667" max="7902" width="9.140625" style="644"/>
    <col min="7903" max="7903" width="18.5703125" style="644" customWidth="1"/>
    <col min="7904" max="7904" width="45.140625" style="644" customWidth="1"/>
    <col min="7905" max="7905" width="13" style="644" customWidth="1"/>
    <col min="7906" max="7906" width="10.85546875" style="644" customWidth="1"/>
    <col min="7907" max="7907" width="12.140625" style="644" customWidth="1"/>
    <col min="7908" max="7908" width="13.140625" style="644" customWidth="1"/>
    <col min="7909" max="7909" width="12.140625" style="644" customWidth="1"/>
    <col min="7910" max="7911" width="17.5703125" style="644" customWidth="1"/>
    <col min="7912" max="7913" width="17" style="644" customWidth="1"/>
    <col min="7914" max="7915" width="12.28515625" style="644" customWidth="1"/>
    <col min="7916" max="7916" width="1.85546875" style="644" customWidth="1"/>
    <col min="7917" max="7918" width="23.85546875" style="644" customWidth="1"/>
    <col min="7919" max="7922" width="16.28515625" style="644" customWidth="1"/>
    <col min="7923" max="8158" width="9.140625" style="644"/>
    <col min="8159" max="8159" width="18.5703125" style="644" customWidth="1"/>
    <col min="8160" max="8160" width="45.140625" style="644" customWidth="1"/>
    <col min="8161" max="8161" width="13" style="644" customWidth="1"/>
    <col min="8162" max="8162" width="10.85546875" style="644" customWidth="1"/>
    <col min="8163" max="8163" width="12.140625" style="644" customWidth="1"/>
    <col min="8164" max="8164" width="13.140625" style="644" customWidth="1"/>
    <col min="8165" max="8165" width="12.140625" style="644" customWidth="1"/>
    <col min="8166" max="8167" width="17.5703125" style="644" customWidth="1"/>
    <col min="8168" max="8169" width="17" style="644" customWidth="1"/>
    <col min="8170" max="8171" width="12.28515625" style="644" customWidth="1"/>
    <col min="8172" max="8172" width="1.85546875" style="644" customWidth="1"/>
    <col min="8173" max="8174" width="23.85546875" style="644" customWidth="1"/>
    <col min="8175" max="8178" width="16.28515625" style="644" customWidth="1"/>
    <col min="8179" max="8414" width="9.140625" style="644"/>
    <col min="8415" max="8415" width="18.5703125" style="644" customWidth="1"/>
    <col min="8416" max="8416" width="45.140625" style="644" customWidth="1"/>
    <col min="8417" max="8417" width="13" style="644" customWidth="1"/>
    <col min="8418" max="8418" width="10.85546875" style="644" customWidth="1"/>
    <col min="8419" max="8419" width="12.140625" style="644" customWidth="1"/>
    <col min="8420" max="8420" width="13.140625" style="644" customWidth="1"/>
    <col min="8421" max="8421" width="12.140625" style="644" customWidth="1"/>
    <col min="8422" max="8423" width="17.5703125" style="644" customWidth="1"/>
    <col min="8424" max="8425" width="17" style="644" customWidth="1"/>
    <col min="8426" max="8427" width="12.28515625" style="644" customWidth="1"/>
    <col min="8428" max="8428" width="1.85546875" style="644" customWidth="1"/>
    <col min="8429" max="8430" width="23.85546875" style="644" customWidth="1"/>
    <col min="8431" max="8434" width="16.28515625" style="644" customWidth="1"/>
    <col min="8435" max="8670" width="9.140625" style="644"/>
    <col min="8671" max="8671" width="18.5703125" style="644" customWidth="1"/>
    <col min="8672" max="8672" width="45.140625" style="644" customWidth="1"/>
    <col min="8673" max="8673" width="13" style="644" customWidth="1"/>
    <col min="8674" max="8674" width="10.85546875" style="644" customWidth="1"/>
    <col min="8675" max="8675" width="12.140625" style="644" customWidth="1"/>
    <col min="8676" max="8676" width="13.140625" style="644" customWidth="1"/>
    <col min="8677" max="8677" width="12.140625" style="644" customWidth="1"/>
    <col min="8678" max="8679" width="17.5703125" style="644" customWidth="1"/>
    <col min="8680" max="8681" width="17" style="644" customWidth="1"/>
    <col min="8682" max="8683" width="12.28515625" style="644" customWidth="1"/>
    <col min="8684" max="8684" width="1.85546875" style="644" customWidth="1"/>
    <col min="8685" max="8686" width="23.85546875" style="644" customWidth="1"/>
    <col min="8687" max="8690" width="16.28515625" style="644" customWidth="1"/>
    <col min="8691" max="8926" width="9.140625" style="644"/>
    <col min="8927" max="8927" width="18.5703125" style="644" customWidth="1"/>
    <col min="8928" max="8928" width="45.140625" style="644" customWidth="1"/>
    <col min="8929" max="8929" width="13" style="644" customWidth="1"/>
    <col min="8930" max="8930" width="10.85546875" style="644" customWidth="1"/>
    <col min="8931" max="8931" width="12.140625" style="644" customWidth="1"/>
    <col min="8932" max="8932" width="13.140625" style="644" customWidth="1"/>
    <col min="8933" max="8933" width="12.140625" style="644" customWidth="1"/>
    <col min="8934" max="8935" width="17.5703125" style="644" customWidth="1"/>
    <col min="8936" max="8937" width="17" style="644" customWidth="1"/>
    <col min="8938" max="8939" width="12.28515625" style="644" customWidth="1"/>
    <col min="8940" max="8940" width="1.85546875" style="644" customWidth="1"/>
    <col min="8941" max="8942" width="23.85546875" style="644" customWidth="1"/>
    <col min="8943" max="8946" width="16.28515625" style="644" customWidth="1"/>
    <col min="8947" max="9182" width="9.140625" style="644"/>
    <col min="9183" max="9183" width="18.5703125" style="644" customWidth="1"/>
    <col min="9184" max="9184" width="45.140625" style="644" customWidth="1"/>
    <col min="9185" max="9185" width="13" style="644" customWidth="1"/>
    <col min="9186" max="9186" width="10.85546875" style="644" customWidth="1"/>
    <col min="9187" max="9187" width="12.140625" style="644" customWidth="1"/>
    <col min="9188" max="9188" width="13.140625" style="644" customWidth="1"/>
    <col min="9189" max="9189" width="12.140625" style="644" customWidth="1"/>
    <col min="9190" max="9191" width="17.5703125" style="644" customWidth="1"/>
    <col min="9192" max="9193" width="17" style="644" customWidth="1"/>
    <col min="9194" max="9195" width="12.28515625" style="644" customWidth="1"/>
    <col min="9196" max="9196" width="1.85546875" style="644" customWidth="1"/>
    <col min="9197" max="9198" width="23.85546875" style="644" customWidth="1"/>
    <col min="9199" max="9202" width="16.28515625" style="644" customWidth="1"/>
    <col min="9203" max="9438" width="9.140625" style="644"/>
    <col min="9439" max="9439" width="18.5703125" style="644" customWidth="1"/>
    <col min="9440" max="9440" width="45.140625" style="644" customWidth="1"/>
    <col min="9441" max="9441" width="13" style="644" customWidth="1"/>
    <col min="9442" max="9442" width="10.85546875" style="644" customWidth="1"/>
    <col min="9443" max="9443" width="12.140625" style="644" customWidth="1"/>
    <col min="9444" max="9444" width="13.140625" style="644" customWidth="1"/>
    <col min="9445" max="9445" width="12.140625" style="644" customWidth="1"/>
    <col min="9446" max="9447" width="17.5703125" style="644" customWidth="1"/>
    <col min="9448" max="9449" width="17" style="644" customWidth="1"/>
    <col min="9450" max="9451" width="12.28515625" style="644" customWidth="1"/>
    <col min="9452" max="9452" width="1.85546875" style="644" customWidth="1"/>
    <col min="9453" max="9454" width="23.85546875" style="644" customWidth="1"/>
    <col min="9455" max="9458" width="16.28515625" style="644" customWidth="1"/>
    <col min="9459" max="9694" width="9.140625" style="644"/>
    <col min="9695" max="9695" width="18.5703125" style="644" customWidth="1"/>
    <col min="9696" max="9696" width="45.140625" style="644" customWidth="1"/>
    <col min="9697" max="9697" width="13" style="644" customWidth="1"/>
    <col min="9698" max="9698" width="10.85546875" style="644" customWidth="1"/>
    <col min="9699" max="9699" width="12.140625" style="644" customWidth="1"/>
    <col min="9700" max="9700" width="13.140625" style="644" customWidth="1"/>
    <col min="9701" max="9701" width="12.140625" style="644" customWidth="1"/>
    <col min="9702" max="9703" width="17.5703125" style="644" customWidth="1"/>
    <col min="9704" max="9705" width="17" style="644" customWidth="1"/>
    <col min="9706" max="9707" width="12.28515625" style="644" customWidth="1"/>
    <col min="9708" max="9708" width="1.85546875" style="644" customWidth="1"/>
    <col min="9709" max="9710" width="23.85546875" style="644" customWidth="1"/>
    <col min="9711" max="9714" width="16.28515625" style="644" customWidth="1"/>
    <col min="9715" max="9950" width="9.140625" style="644"/>
    <col min="9951" max="9951" width="18.5703125" style="644" customWidth="1"/>
    <col min="9952" max="9952" width="45.140625" style="644" customWidth="1"/>
    <col min="9953" max="9953" width="13" style="644" customWidth="1"/>
    <col min="9954" max="9954" width="10.85546875" style="644" customWidth="1"/>
    <col min="9955" max="9955" width="12.140625" style="644" customWidth="1"/>
    <col min="9956" max="9956" width="13.140625" style="644" customWidth="1"/>
    <col min="9957" max="9957" width="12.140625" style="644" customWidth="1"/>
    <col min="9958" max="9959" width="17.5703125" style="644" customWidth="1"/>
    <col min="9960" max="9961" width="17" style="644" customWidth="1"/>
    <col min="9962" max="9963" width="12.28515625" style="644" customWidth="1"/>
    <col min="9964" max="9964" width="1.85546875" style="644" customWidth="1"/>
    <col min="9965" max="9966" width="23.85546875" style="644" customWidth="1"/>
    <col min="9967" max="9970" width="16.28515625" style="644" customWidth="1"/>
    <col min="9971" max="10206" width="9.140625" style="644"/>
    <col min="10207" max="10207" width="18.5703125" style="644" customWidth="1"/>
    <col min="10208" max="10208" width="45.140625" style="644" customWidth="1"/>
    <col min="10209" max="10209" width="13" style="644" customWidth="1"/>
    <col min="10210" max="10210" width="10.85546875" style="644" customWidth="1"/>
    <col min="10211" max="10211" width="12.140625" style="644" customWidth="1"/>
    <col min="10212" max="10212" width="13.140625" style="644" customWidth="1"/>
    <col min="10213" max="10213" width="12.140625" style="644" customWidth="1"/>
    <col min="10214" max="10215" width="17.5703125" style="644" customWidth="1"/>
    <col min="10216" max="10217" width="17" style="644" customWidth="1"/>
    <col min="10218" max="10219" width="12.28515625" style="644" customWidth="1"/>
    <col min="10220" max="10220" width="1.85546875" style="644" customWidth="1"/>
    <col min="10221" max="10222" width="23.85546875" style="644" customWidth="1"/>
    <col min="10223" max="10226" width="16.28515625" style="644" customWidth="1"/>
    <col min="10227" max="10462" width="9.140625" style="644"/>
    <col min="10463" max="10463" width="18.5703125" style="644" customWidth="1"/>
    <col min="10464" max="10464" width="45.140625" style="644" customWidth="1"/>
    <col min="10465" max="10465" width="13" style="644" customWidth="1"/>
    <col min="10466" max="10466" width="10.85546875" style="644" customWidth="1"/>
    <col min="10467" max="10467" width="12.140625" style="644" customWidth="1"/>
    <col min="10468" max="10468" width="13.140625" style="644" customWidth="1"/>
    <col min="10469" max="10469" width="12.140625" style="644" customWidth="1"/>
    <col min="10470" max="10471" width="17.5703125" style="644" customWidth="1"/>
    <col min="10472" max="10473" width="17" style="644" customWidth="1"/>
    <col min="10474" max="10475" width="12.28515625" style="644" customWidth="1"/>
    <col min="10476" max="10476" width="1.85546875" style="644" customWidth="1"/>
    <col min="10477" max="10478" width="23.85546875" style="644" customWidth="1"/>
    <col min="10479" max="10482" width="16.28515625" style="644" customWidth="1"/>
    <col min="10483" max="10718" width="9.140625" style="644"/>
    <col min="10719" max="10719" width="18.5703125" style="644" customWidth="1"/>
    <col min="10720" max="10720" width="45.140625" style="644" customWidth="1"/>
    <col min="10721" max="10721" width="13" style="644" customWidth="1"/>
    <col min="10722" max="10722" width="10.85546875" style="644" customWidth="1"/>
    <col min="10723" max="10723" width="12.140625" style="644" customWidth="1"/>
    <col min="10724" max="10724" width="13.140625" style="644" customWidth="1"/>
    <col min="10725" max="10725" width="12.140625" style="644" customWidth="1"/>
    <col min="10726" max="10727" width="17.5703125" style="644" customWidth="1"/>
    <col min="10728" max="10729" width="17" style="644" customWidth="1"/>
    <col min="10730" max="10731" width="12.28515625" style="644" customWidth="1"/>
    <col min="10732" max="10732" width="1.85546875" style="644" customWidth="1"/>
    <col min="10733" max="10734" width="23.85546875" style="644" customWidth="1"/>
    <col min="10735" max="10738" width="16.28515625" style="644" customWidth="1"/>
    <col min="10739" max="10974" width="9.140625" style="644"/>
    <col min="10975" max="10975" width="18.5703125" style="644" customWidth="1"/>
    <col min="10976" max="10976" width="45.140625" style="644" customWidth="1"/>
    <col min="10977" max="10977" width="13" style="644" customWidth="1"/>
    <col min="10978" max="10978" width="10.85546875" style="644" customWidth="1"/>
    <col min="10979" max="10979" width="12.140625" style="644" customWidth="1"/>
    <col min="10980" max="10980" width="13.140625" style="644" customWidth="1"/>
    <col min="10981" max="10981" width="12.140625" style="644" customWidth="1"/>
    <col min="10982" max="10983" width="17.5703125" style="644" customWidth="1"/>
    <col min="10984" max="10985" width="17" style="644" customWidth="1"/>
    <col min="10986" max="10987" width="12.28515625" style="644" customWidth="1"/>
    <col min="10988" max="10988" width="1.85546875" style="644" customWidth="1"/>
    <col min="10989" max="10990" width="23.85546875" style="644" customWidth="1"/>
    <col min="10991" max="10994" width="16.28515625" style="644" customWidth="1"/>
    <col min="10995" max="11230" width="9.140625" style="644"/>
    <col min="11231" max="11231" width="18.5703125" style="644" customWidth="1"/>
    <col min="11232" max="11232" width="45.140625" style="644" customWidth="1"/>
    <col min="11233" max="11233" width="13" style="644" customWidth="1"/>
    <col min="11234" max="11234" width="10.85546875" style="644" customWidth="1"/>
    <col min="11235" max="11235" width="12.140625" style="644" customWidth="1"/>
    <col min="11236" max="11236" width="13.140625" style="644" customWidth="1"/>
    <col min="11237" max="11237" width="12.140625" style="644" customWidth="1"/>
    <col min="11238" max="11239" width="17.5703125" style="644" customWidth="1"/>
    <col min="11240" max="11241" width="17" style="644" customWidth="1"/>
    <col min="11242" max="11243" width="12.28515625" style="644" customWidth="1"/>
    <col min="11244" max="11244" width="1.85546875" style="644" customWidth="1"/>
    <col min="11245" max="11246" width="23.85546875" style="644" customWidth="1"/>
    <col min="11247" max="11250" width="16.28515625" style="644" customWidth="1"/>
    <col min="11251" max="11486" width="9.140625" style="644"/>
    <col min="11487" max="11487" width="18.5703125" style="644" customWidth="1"/>
    <col min="11488" max="11488" width="45.140625" style="644" customWidth="1"/>
    <col min="11489" max="11489" width="13" style="644" customWidth="1"/>
    <col min="11490" max="11490" width="10.85546875" style="644" customWidth="1"/>
    <col min="11491" max="11491" width="12.140625" style="644" customWidth="1"/>
    <col min="11492" max="11492" width="13.140625" style="644" customWidth="1"/>
    <col min="11493" max="11493" width="12.140625" style="644" customWidth="1"/>
    <col min="11494" max="11495" width="17.5703125" style="644" customWidth="1"/>
    <col min="11496" max="11497" width="17" style="644" customWidth="1"/>
    <col min="11498" max="11499" width="12.28515625" style="644" customWidth="1"/>
    <col min="11500" max="11500" width="1.85546875" style="644" customWidth="1"/>
    <col min="11501" max="11502" width="23.85546875" style="644" customWidth="1"/>
    <col min="11503" max="11506" width="16.28515625" style="644" customWidth="1"/>
    <col min="11507" max="11742" width="9.140625" style="644"/>
    <col min="11743" max="11743" width="18.5703125" style="644" customWidth="1"/>
    <col min="11744" max="11744" width="45.140625" style="644" customWidth="1"/>
    <col min="11745" max="11745" width="13" style="644" customWidth="1"/>
    <col min="11746" max="11746" width="10.85546875" style="644" customWidth="1"/>
    <col min="11747" max="11747" width="12.140625" style="644" customWidth="1"/>
    <col min="11748" max="11748" width="13.140625" style="644" customWidth="1"/>
    <col min="11749" max="11749" width="12.140625" style="644" customWidth="1"/>
    <col min="11750" max="11751" width="17.5703125" style="644" customWidth="1"/>
    <col min="11752" max="11753" width="17" style="644" customWidth="1"/>
    <col min="11754" max="11755" width="12.28515625" style="644" customWidth="1"/>
    <col min="11756" max="11756" width="1.85546875" style="644" customWidth="1"/>
    <col min="11757" max="11758" width="23.85546875" style="644" customWidth="1"/>
    <col min="11759" max="11762" width="16.28515625" style="644" customWidth="1"/>
    <col min="11763" max="11998" width="9.140625" style="644"/>
    <col min="11999" max="11999" width="18.5703125" style="644" customWidth="1"/>
    <col min="12000" max="12000" width="45.140625" style="644" customWidth="1"/>
    <col min="12001" max="12001" width="13" style="644" customWidth="1"/>
    <col min="12002" max="12002" width="10.85546875" style="644" customWidth="1"/>
    <col min="12003" max="12003" width="12.140625" style="644" customWidth="1"/>
    <col min="12004" max="12004" width="13.140625" style="644" customWidth="1"/>
    <col min="12005" max="12005" width="12.140625" style="644" customWidth="1"/>
    <col min="12006" max="12007" width="17.5703125" style="644" customWidth="1"/>
    <col min="12008" max="12009" width="17" style="644" customWidth="1"/>
    <col min="12010" max="12011" width="12.28515625" style="644" customWidth="1"/>
    <col min="12012" max="12012" width="1.85546875" style="644" customWidth="1"/>
    <col min="12013" max="12014" width="23.85546875" style="644" customWidth="1"/>
    <col min="12015" max="12018" width="16.28515625" style="644" customWidth="1"/>
    <col min="12019" max="12254" width="9.140625" style="644"/>
    <col min="12255" max="12255" width="18.5703125" style="644" customWidth="1"/>
    <col min="12256" max="12256" width="45.140625" style="644" customWidth="1"/>
    <col min="12257" max="12257" width="13" style="644" customWidth="1"/>
    <col min="12258" max="12258" width="10.85546875" style="644" customWidth="1"/>
    <col min="12259" max="12259" width="12.140625" style="644" customWidth="1"/>
    <col min="12260" max="12260" width="13.140625" style="644" customWidth="1"/>
    <col min="12261" max="12261" width="12.140625" style="644" customWidth="1"/>
    <col min="12262" max="12263" width="17.5703125" style="644" customWidth="1"/>
    <col min="12264" max="12265" width="17" style="644" customWidth="1"/>
    <col min="12266" max="12267" width="12.28515625" style="644" customWidth="1"/>
    <col min="12268" max="12268" width="1.85546875" style="644" customWidth="1"/>
    <col min="12269" max="12270" width="23.85546875" style="644" customWidth="1"/>
    <col min="12271" max="12274" width="16.28515625" style="644" customWidth="1"/>
    <col min="12275" max="12510" width="9.140625" style="644"/>
    <col min="12511" max="12511" width="18.5703125" style="644" customWidth="1"/>
    <col min="12512" max="12512" width="45.140625" style="644" customWidth="1"/>
    <col min="12513" max="12513" width="13" style="644" customWidth="1"/>
    <col min="12514" max="12514" width="10.85546875" style="644" customWidth="1"/>
    <col min="12515" max="12515" width="12.140625" style="644" customWidth="1"/>
    <col min="12516" max="12516" width="13.140625" style="644" customWidth="1"/>
    <col min="12517" max="12517" width="12.140625" style="644" customWidth="1"/>
    <col min="12518" max="12519" width="17.5703125" style="644" customWidth="1"/>
    <col min="12520" max="12521" width="17" style="644" customWidth="1"/>
    <col min="12522" max="12523" width="12.28515625" style="644" customWidth="1"/>
    <col min="12524" max="12524" width="1.85546875" style="644" customWidth="1"/>
    <col min="12525" max="12526" width="23.85546875" style="644" customWidth="1"/>
    <col min="12527" max="12530" width="16.28515625" style="644" customWidth="1"/>
    <col min="12531" max="12766" width="9.140625" style="644"/>
    <col min="12767" max="12767" width="18.5703125" style="644" customWidth="1"/>
    <col min="12768" max="12768" width="45.140625" style="644" customWidth="1"/>
    <col min="12769" max="12769" width="13" style="644" customWidth="1"/>
    <col min="12770" max="12770" width="10.85546875" style="644" customWidth="1"/>
    <col min="12771" max="12771" width="12.140625" style="644" customWidth="1"/>
    <col min="12772" max="12772" width="13.140625" style="644" customWidth="1"/>
    <col min="12773" max="12773" width="12.140625" style="644" customWidth="1"/>
    <col min="12774" max="12775" width="17.5703125" style="644" customWidth="1"/>
    <col min="12776" max="12777" width="17" style="644" customWidth="1"/>
    <col min="12778" max="12779" width="12.28515625" style="644" customWidth="1"/>
    <col min="12780" max="12780" width="1.85546875" style="644" customWidth="1"/>
    <col min="12781" max="12782" width="23.85546875" style="644" customWidth="1"/>
    <col min="12783" max="12786" width="16.28515625" style="644" customWidth="1"/>
    <col min="12787" max="13022" width="9.140625" style="644"/>
    <col min="13023" max="13023" width="18.5703125" style="644" customWidth="1"/>
    <col min="13024" max="13024" width="45.140625" style="644" customWidth="1"/>
    <col min="13025" max="13025" width="13" style="644" customWidth="1"/>
    <col min="13026" max="13026" width="10.85546875" style="644" customWidth="1"/>
    <col min="13027" max="13027" width="12.140625" style="644" customWidth="1"/>
    <col min="13028" max="13028" width="13.140625" style="644" customWidth="1"/>
    <col min="13029" max="13029" width="12.140625" style="644" customWidth="1"/>
    <col min="13030" max="13031" width="17.5703125" style="644" customWidth="1"/>
    <col min="13032" max="13033" width="17" style="644" customWidth="1"/>
    <col min="13034" max="13035" width="12.28515625" style="644" customWidth="1"/>
    <col min="13036" max="13036" width="1.85546875" style="644" customWidth="1"/>
    <col min="13037" max="13038" width="23.85546875" style="644" customWidth="1"/>
    <col min="13039" max="13042" width="16.28515625" style="644" customWidth="1"/>
    <col min="13043" max="13278" width="9.140625" style="644"/>
    <col min="13279" max="13279" width="18.5703125" style="644" customWidth="1"/>
    <col min="13280" max="13280" width="45.140625" style="644" customWidth="1"/>
    <col min="13281" max="13281" width="13" style="644" customWidth="1"/>
    <col min="13282" max="13282" width="10.85546875" style="644" customWidth="1"/>
    <col min="13283" max="13283" width="12.140625" style="644" customWidth="1"/>
    <col min="13284" max="13284" width="13.140625" style="644" customWidth="1"/>
    <col min="13285" max="13285" width="12.140625" style="644" customWidth="1"/>
    <col min="13286" max="13287" width="17.5703125" style="644" customWidth="1"/>
    <col min="13288" max="13289" width="17" style="644" customWidth="1"/>
    <col min="13290" max="13291" width="12.28515625" style="644" customWidth="1"/>
    <col min="13292" max="13292" width="1.85546875" style="644" customWidth="1"/>
    <col min="13293" max="13294" width="23.85546875" style="644" customWidth="1"/>
    <col min="13295" max="13298" width="16.28515625" style="644" customWidth="1"/>
    <col min="13299" max="13534" width="9.140625" style="644"/>
    <col min="13535" max="13535" width="18.5703125" style="644" customWidth="1"/>
    <col min="13536" max="13536" width="45.140625" style="644" customWidth="1"/>
    <col min="13537" max="13537" width="13" style="644" customWidth="1"/>
    <col min="13538" max="13538" width="10.85546875" style="644" customWidth="1"/>
    <col min="13539" max="13539" width="12.140625" style="644" customWidth="1"/>
    <col min="13540" max="13540" width="13.140625" style="644" customWidth="1"/>
    <col min="13541" max="13541" width="12.140625" style="644" customWidth="1"/>
    <col min="13542" max="13543" width="17.5703125" style="644" customWidth="1"/>
    <col min="13544" max="13545" width="17" style="644" customWidth="1"/>
    <col min="13546" max="13547" width="12.28515625" style="644" customWidth="1"/>
    <col min="13548" max="13548" width="1.85546875" style="644" customWidth="1"/>
    <col min="13549" max="13550" width="23.85546875" style="644" customWidth="1"/>
    <col min="13551" max="13554" width="16.28515625" style="644" customWidth="1"/>
    <col min="13555" max="13790" width="9.140625" style="644"/>
    <col min="13791" max="13791" width="18.5703125" style="644" customWidth="1"/>
    <col min="13792" max="13792" width="45.140625" style="644" customWidth="1"/>
    <col min="13793" max="13793" width="13" style="644" customWidth="1"/>
    <col min="13794" max="13794" width="10.85546875" style="644" customWidth="1"/>
    <col min="13795" max="13795" width="12.140625" style="644" customWidth="1"/>
    <col min="13796" max="13796" width="13.140625" style="644" customWidth="1"/>
    <col min="13797" max="13797" width="12.140625" style="644" customWidth="1"/>
    <col min="13798" max="13799" width="17.5703125" style="644" customWidth="1"/>
    <col min="13800" max="13801" width="17" style="644" customWidth="1"/>
    <col min="13802" max="13803" width="12.28515625" style="644" customWidth="1"/>
    <col min="13804" max="13804" width="1.85546875" style="644" customWidth="1"/>
    <col min="13805" max="13806" width="23.85546875" style="644" customWidth="1"/>
    <col min="13807" max="13810" width="16.28515625" style="644" customWidth="1"/>
    <col min="13811" max="14046" width="9.140625" style="644"/>
    <col min="14047" max="14047" width="18.5703125" style="644" customWidth="1"/>
    <col min="14048" max="14048" width="45.140625" style="644" customWidth="1"/>
    <col min="14049" max="14049" width="13" style="644" customWidth="1"/>
    <col min="14050" max="14050" width="10.85546875" style="644" customWidth="1"/>
    <col min="14051" max="14051" width="12.140625" style="644" customWidth="1"/>
    <col min="14052" max="14052" width="13.140625" style="644" customWidth="1"/>
    <col min="14053" max="14053" width="12.140625" style="644" customWidth="1"/>
    <col min="14054" max="14055" width="17.5703125" style="644" customWidth="1"/>
    <col min="14056" max="14057" width="17" style="644" customWidth="1"/>
    <col min="14058" max="14059" width="12.28515625" style="644" customWidth="1"/>
    <col min="14060" max="14060" width="1.85546875" style="644" customWidth="1"/>
    <col min="14061" max="14062" width="23.85546875" style="644" customWidth="1"/>
    <col min="14063" max="14066" width="16.28515625" style="644" customWidth="1"/>
    <col min="14067" max="14302" width="9.140625" style="644"/>
    <col min="14303" max="14303" width="18.5703125" style="644" customWidth="1"/>
    <col min="14304" max="14304" width="45.140625" style="644" customWidth="1"/>
    <col min="14305" max="14305" width="13" style="644" customWidth="1"/>
    <col min="14306" max="14306" width="10.85546875" style="644" customWidth="1"/>
    <col min="14307" max="14307" width="12.140625" style="644" customWidth="1"/>
    <col min="14308" max="14308" width="13.140625" style="644" customWidth="1"/>
    <col min="14309" max="14309" width="12.140625" style="644" customWidth="1"/>
    <col min="14310" max="14311" width="17.5703125" style="644" customWidth="1"/>
    <col min="14312" max="14313" width="17" style="644" customWidth="1"/>
    <col min="14314" max="14315" width="12.28515625" style="644" customWidth="1"/>
    <col min="14316" max="14316" width="1.85546875" style="644" customWidth="1"/>
    <col min="14317" max="14318" width="23.85546875" style="644" customWidth="1"/>
    <col min="14319" max="14322" width="16.28515625" style="644" customWidth="1"/>
    <col min="14323" max="14558" width="9.140625" style="644"/>
    <col min="14559" max="14559" width="18.5703125" style="644" customWidth="1"/>
    <col min="14560" max="14560" width="45.140625" style="644" customWidth="1"/>
    <col min="14561" max="14561" width="13" style="644" customWidth="1"/>
    <col min="14562" max="14562" width="10.85546875" style="644" customWidth="1"/>
    <col min="14563" max="14563" width="12.140625" style="644" customWidth="1"/>
    <col min="14564" max="14564" width="13.140625" style="644" customWidth="1"/>
    <col min="14565" max="14565" width="12.140625" style="644" customWidth="1"/>
    <col min="14566" max="14567" width="17.5703125" style="644" customWidth="1"/>
    <col min="14568" max="14569" width="17" style="644" customWidth="1"/>
    <col min="14570" max="14571" width="12.28515625" style="644" customWidth="1"/>
    <col min="14572" max="14572" width="1.85546875" style="644" customWidth="1"/>
    <col min="14573" max="14574" width="23.85546875" style="644" customWidth="1"/>
    <col min="14575" max="14578" width="16.28515625" style="644" customWidth="1"/>
    <col min="14579" max="14814" width="9.140625" style="644"/>
    <col min="14815" max="14815" width="18.5703125" style="644" customWidth="1"/>
    <col min="14816" max="14816" width="45.140625" style="644" customWidth="1"/>
    <col min="14817" max="14817" width="13" style="644" customWidth="1"/>
    <col min="14818" max="14818" width="10.85546875" style="644" customWidth="1"/>
    <col min="14819" max="14819" width="12.140625" style="644" customWidth="1"/>
    <col min="14820" max="14820" width="13.140625" style="644" customWidth="1"/>
    <col min="14821" max="14821" width="12.140625" style="644" customWidth="1"/>
    <col min="14822" max="14823" width="17.5703125" style="644" customWidth="1"/>
    <col min="14824" max="14825" width="17" style="644" customWidth="1"/>
    <col min="14826" max="14827" width="12.28515625" style="644" customWidth="1"/>
    <col min="14828" max="14828" width="1.85546875" style="644" customWidth="1"/>
    <col min="14829" max="14830" width="23.85546875" style="644" customWidth="1"/>
    <col min="14831" max="14834" width="16.28515625" style="644" customWidth="1"/>
    <col min="14835" max="15070" width="9.140625" style="644"/>
    <col min="15071" max="15071" width="18.5703125" style="644" customWidth="1"/>
    <col min="15072" max="15072" width="45.140625" style="644" customWidth="1"/>
    <col min="15073" max="15073" width="13" style="644" customWidth="1"/>
    <col min="15074" max="15074" width="10.85546875" style="644" customWidth="1"/>
    <col min="15075" max="15075" width="12.140625" style="644" customWidth="1"/>
    <col min="15076" max="15076" width="13.140625" style="644" customWidth="1"/>
    <col min="15077" max="15077" width="12.140625" style="644" customWidth="1"/>
    <col min="15078" max="15079" width="17.5703125" style="644" customWidth="1"/>
    <col min="15080" max="15081" width="17" style="644" customWidth="1"/>
    <col min="15082" max="15083" width="12.28515625" style="644" customWidth="1"/>
    <col min="15084" max="15084" width="1.85546875" style="644" customWidth="1"/>
    <col min="15085" max="15086" width="23.85546875" style="644" customWidth="1"/>
    <col min="15087" max="15090" width="16.28515625" style="644" customWidth="1"/>
    <col min="15091" max="15326" width="9.140625" style="644"/>
    <col min="15327" max="15327" width="18.5703125" style="644" customWidth="1"/>
    <col min="15328" max="15328" width="45.140625" style="644" customWidth="1"/>
    <col min="15329" max="15329" width="13" style="644" customWidth="1"/>
    <col min="15330" max="15330" width="10.85546875" style="644" customWidth="1"/>
    <col min="15331" max="15331" width="12.140625" style="644" customWidth="1"/>
    <col min="15332" max="15332" width="13.140625" style="644" customWidth="1"/>
    <col min="15333" max="15333" width="12.140625" style="644" customWidth="1"/>
    <col min="15334" max="15335" width="17.5703125" style="644" customWidth="1"/>
    <col min="15336" max="15337" width="17" style="644" customWidth="1"/>
    <col min="15338" max="15339" width="12.28515625" style="644" customWidth="1"/>
    <col min="15340" max="15340" width="1.85546875" style="644" customWidth="1"/>
    <col min="15341" max="15342" width="23.85546875" style="644" customWidth="1"/>
    <col min="15343" max="15346" width="16.28515625" style="644" customWidth="1"/>
    <col min="15347" max="15582" width="9.140625" style="644"/>
    <col min="15583" max="15583" width="18.5703125" style="644" customWidth="1"/>
    <col min="15584" max="15584" width="45.140625" style="644" customWidth="1"/>
    <col min="15585" max="15585" width="13" style="644" customWidth="1"/>
    <col min="15586" max="15586" width="10.85546875" style="644" customWidth="1"/>
    <col min="15587" max="15587" width="12.140625" style="644" customWidth="1"/>
    <col min="15588" max="15588" width="13.140625" style="644" customWidth="1"/>
    <col min="15589" max="15589" width="12.140625" style="644" customWidth="1"/>
    <col min="15590" max="15591" width="17.5703125" style="644" customWidth="1"/>
    <col min="15592" max="15593" width="17" style="644" customWidth="1"/>
    <col min="15594" max="15595" width="12.28515625" style="644" customWidth="1"/>
    <col min="15596" max="15596" width="1.85546875" style="644" customWidth="1"/>
    <col min="15597" max="15598" width="23.85546875" style="644" customWidth="1"/>
    <col min="15599" max="15602" width="16.28515625" style="644" customWidth="1"/>
    <col min="15603" max="15838" width="9.140625" style="644"/>
    <col min="15839" max="15839" width="18.5703125" style="644" customWidth="1"/>
    <col min="15840" max="15840" width="45.140625" style="644" customWidth="1"/>
    <col min="15841" max="15841" width="13" style="644" customWidth="1"/>
    <col min="15842" max="15842" width="10.85546875" style="644" customWidth="1"/>
    <col min="15843" max="15843" width="12.140625" style="644" customWidth="1"/>
    <col min="15844" max="15844" width="13.140625" style="644" customWidth="1"/>
    <col min="15845" max="15845" width="12.140625" style="644" customWidth="1"/>
    <col min="15846" max="15847" width="17.5703125" style="644" customWidth="1"/>
    <col min="15848" max="15849" width="17" style="644" customWidth="1"/>
    <col min="15850" max="15851" width="12.28515625" style="644" customWidth="1"/>
    <col min="15852" max="15852" width="1.85546875" style="644" customWidth="1"/>
    <col min="15853" max="15854" width="23.85546875" style="644" customWidth="1"/>
    <col min="15855" max="15858" width="16.28515625" style="644" customWidth="1"/>
    <col min="15859" max="16094" width="9.140625" style="644"/>
    <col min="16095" max="16095" width="18.5703125" style="644" customWidth="1"/>
    <col min="16096" max="16096" width="45.140625" style="644" customWidth="1"/>
    <col min="16097" max="16097" width="13" style="644" customWidth="1"/>
    <col min="16098" max="16098" width="10.85546875" style="644" customWidth="1"/>
    <col min="16099" max="16099" width="12.140625" style="644" customWidth="1"/>
    <col min="16100" max="16100" width="13.140625" style="644" customWidth="1"/>
    <col min="16101" max="16101" width="12.140625" style="644" customWidth="1"/>
    <col min="16102" max="16103" width="17.5703125" style="644" customWidth="1"/>
    <col min="16104" max="16105" width="17" style="644" customWidth="1"/>
    <col min="16106" max="16107" width="12.28515625" style="644" customWidth="1"/>
    <col min="16108" max="16108" width="1.85546875" style="644" customWidth="1"/>
    <col min="16109" max="16110" width="23.85546875" style="644" customWidth="1"/>
    <col min="16111" max="16114" width="16.28515625" style="644" customWidth="1"/>
    <col min="16115" max="16384" width="9.140625" style="644"/>
  </cols>
  <sheetData>
    <row r="2" spans="2:12" x14ac:dyDescent="0.2">
      <c r="B2" s="1053" t="s">
        <v>587</v>
      </c>
      <c r="C2" s="1053"/>
      <c r="D2" s="1053"/>
      <c r="E2" s="1053"/>
      <c r="F2" s="1053"/>
      <c r="G2" s="1053"/>
      <c r="H2" s="1053"/>
      <c r="I2" s="1053"/>
      <c r="J2" s="1053"/>
    </row>
    <row r="3" spans="2:12" x14ac:dyDescent="0.2">
      <c r="B3" s="1053" t="s">
        <v>588</v>
      </c>
      <c r="C3" s="1053"/>
      <c r="D3" s="1053"/>
      <c r="E3" s="1053"/>
      <c r="F3" s="1053"/>
      <c r="G3" s="1053"/>
      <c r="H3" s="1053"/>
      <c r="I3" s="1053"/>
      <c r="J3" s="1053"/>
    </row>
    <row r="4" spans="2:12" x14ac:dyDescent="0.2">
      <c r="B4" s="646"/>
      <c r="C4" s="646"/>
      <c r="D4" s="646"/>
      <c r="E4" s="646"/>
      <c r="F4" s="646"/>
      <c r="G4" s="646"/>
      <c r="H4" s="646"/>
      <c r="I4" s="646"/>
      <c r="J4" s="645"/>
    </row>
    <row r="5" spans="2:12" x14ac:dyDescent="0.2">
      <c r="B5" s="1054" t="s">
        <v>589</v>
      </c>
      <c r="C5" s="1055"/>
      <c r="D5" s="1055"/>
      <c r="E5" s="1056"/>
      <c r="F5" s="1057" t="s">
        <v>590</v>
      </c>
      <c r="G5" s="1058"/>
      <c r="H5" s="1057" t="s">
        <v>591</v>
      </c>
      <c r="I5" s="1058"/>
      <c r="J5" s="648"/>
    </row>
    <row r="6" spans="2:12" x14ac:dyDescent="0.2">
      <c r="B6" s="649"/>
      <c r="E6" s="650"/>
      <c r="F6" s="1059" t="s">
        <v>671</v>
      </c>
      <c r="G6" s="1060"/>
      <c r="H6" s="1059" t="str">
        <f>F6</f>
        <v>2024 w/CVEO vs. 2024 w/o CVEO</v>
      </c>
      <c r="I6" s="1060"/>
      <c r="J6" s="651"/>
    </row>
    <row r="7" spans="2:12" x14ac:dyDescent="0.2">
      <c r="B7" s="653"/>
      <c r="D7" s="1061" t="s">
        <v>592</v>
      </c>
      <c r="E7" s="1062"/>
      <c r="F7" s="1063" t="s">
        <v>593</v>
      </c>
      <c r="G7" s="1062"/>
      <c r="H7" s="1063" t="s">
        <v>593</v>
      </c>
      <c r="I7" s="1062"/>
      <c r="J7" s="651"/>
    </row>
    <row r="8" spans="2:12" x14ac:dyDescent="0.2">
      <c r="B8" s="654" t="s">
        <v>594</v>
      </c>
      <c r="C8" s="655"/>
      <c r="D8" s="655" t="s">
        <v>595</v>
      </c>
      <c r="E8" s="656" t="s">
        <v>47</v>
      </c>
      <c r="F8" s="654" t="s">
        <v>596</v>
      </c>
      <c r="G8" s="656" t="s">
        <v>120</v>
      </c>
      <c r="H8" s="654" t="s">
        <v>596</v>
      </c>
      <c r="I8" s="656" t="s">
        <v>120</v>
      </c>
      <c r="J8" s="651"/>
    </row>
    <row r="9" spans="2:12" x14ac:dyDescent="0.2">
      <c r="B9" s="649"/>
      <c r="C9" s="657"/>
      <c r="D9" s="657"/>
      <c r="E9" s="652"/>
      <c r="F9" s="649"/>
      <c r="G9" s="652"/>
      <c r="H9" s="649"/>
      <c r="I9" s="652"/>
      <c r="L9" s="645"/>
    </row>
    <row r="10" spans="2:12" x14ac:dyDescent="0.2">
      <c r="B10" s="653" t="s">
        <v>597</v>
      </c>
      <c r="C10" s="644" t="s">
        <v>123</v>
      </c>
      <c r="D10" s="658"/>
      <c r="E10" s="659">
        <f>BillsDetail!D25</f>
        <v>530</v>
      </c>
      <c r="F10" s="660">
        <f>BillsDetail!N25</f>
        <v>1.5900000000000034</v>
      </c>
      <c r="G10" s="661">
        <f>BillsDetail!O25</f>
        <v>8.6132177681473646E-3</v>
      </c>
      <c r="H10" s="660">
        <f>F10*12</f>
        <v>19.080000000000041</v>
      </c>
      <c r="I10" s="661">
        <f>G10</f>
        <v>8.6132177681473646E-3</v>
      </c>
      <c r="J10" s="662"/>
    </row>
    <row r="11" spans="2:12" x14ac:dyDescent="0.2">
      <c r="B11" s="653"/>
      <c r="D11" s="658"/>
      <c r="E11" s="659"/>
      <c r="F11" s="660"/>
      <c r="G11" s="661"/>
      <c r="H11" s="660"/>
      <c r="I11" s="661"/>
    </row>
    <row r="12" spans="2:12" x14ac:dyDescent="0.2">
      <c r="B12" s="653" t="s">
        <v>598</v>
      </c>
      <c r="C12" s="644" t="s">
        <v>599</v>
      </c>
      <c r="D12" s="658"/>
      <c r="E12" s="659">
        <f>BillsDetail!D79</f>
        <v>475</v>
      </c>
      <c r="F12" s="660">
        <f>BillsDetail!N79</f>
        <v>0.82999999999999829</v>
      </c>
      <c r="G12" s="661">
        <f>BillsDetail!O79</f>
        <v>8.5965820818228716E-3</v>
      </c>
      <c r="H12" s="660">
        <f>F12*12</f>
        <v>9.9599999999999795</v>
      </c>
      <c r="I12" s="661">
        <f>G12</f>
        <v>8.5965820818228716E-3</v>
      </c>
      <c r="J12" s="662"/>
    </row>
    <row r="13" spans="2:12" x14ac:dyDescent="0.2">
      <c r="B13" s="653"/>
      <c r="D13" s="658"/>
      <c r="E13" s="659"/>
      <c r="F13" s="660"/>
      <c r="G13" s="661"/>
      <c r="H13" s="660"/>
      <c r="I13" s="661"/>
    </row>
    <row r="14" spans="2:12" x14ac:dyDescent="0.2">
      <c r="B14" s="653" t="s">
        <v>600</v>
      </c>
      <c r="C14" s="644" t="s">
        <v>125</v>
      </c>
      <c r="D14" s="658"/>
      <c r="E14" s="659">
        <f>BillsDetail!D134</f>
        <v>745</v>
      </c>
      <c r="F14" s="660">
        <f>BillsDetail!N134</f>
        <v>2.2399999999999523</v>
      </c>
      <c r="G14" s="661">
        <f>BillsDetail!O134</f>
        <v>8.9296392266292688E-3</v>
      </c>
      <c r="H14" s="660">
        <f>F14*12</f>
        <v>26.879999999999427</v>
      </c>
      <c r="I14" s="661">
        <f>G14</f>
        <v>8.9296392266292688E-3</v>
      </c>
      <c r="J14" s="662"/>
    </row>
    <row r="15" spans="2:12" x14ac:dyDescent="0.2">
      <c r="B15" s="653"/>
      <c r="D15" s="658"/>
      <c r="E15" s="659"/>
      <c r="F15" s="660"/>
      <c r="G15" s="661"/>
      <c r="H15" s="660"/>
      <c r="I15" s="661"/>
    </row>
    <row r="16" spans="2:12" x14ac:dyDescent="0.2">
      <c r="B16" s="653" t="s">
        <v>601</v>
      </c>
      <c r="C16" s="644" t="s">
        <v>602</v>
      </c>
      <c r="D16" s="658"/>
      <c r="E16" s="659">
        <f>BillsDetail!D188</f>
        <v>830</v>
      </c>
      <c r="F16" s="660">
        <f>BillsDetail!N188</f>
        <v>1.4499999999999886</v>
      </c>
      <c r="G16" s="661">
        <f>BillsDetail!O188</f>
        <v>8.9822213962707578E-3</v>
      </c>
      <c r="H16" s="660">
        <f>F16*12</f>
        <v>17.399999999999864</v>
      </c>
      <c r="I16" s="661">
        <f>G16</f>
        <v>8.9822213962707578E-3</v>
      </c>
      <c r="J16" s="662"/>
    </row>
    <row r="17" spans="2:10" x14ac:dyDescent="0.2">
      <c r="B17" s="653"/>
      <c r="D17" s="658"/>
      <c r="E17" s="659"/>
      <c r="F17" s="660"/>
      <c r="G17" s="661"/>
      <c r="H17" s="660"/>
      <c r="I17" s="661"/>
    </row>
    <row r="18" spans="2:10" x14ac:dyDescent="0.2">
      <c r="B18" s="653" t="s">
        <v>603</v>
      </c>
      <c r="C18" s="644" t="s">
        <v>604</v>
      </c>
      <c r="D18" s="658"/>
      <c r="E18" s="659">
        <v>1650</v>
      </c>
      <c r="F18" s="660">
        <f>BillsDetail!N240</f>
        <v>3.6299999999999955</v>
      </c>
      <c r="G18" s="661">
        <f>BillsDetail!O240</f>
        <v>7.7304768192175714E-3</v>
      </c>
      <c r="H18" s="660">
        <f>F18*12</f>
        <v>43.559999999999945</v>
      </c>
      <c r="I18" s="661">
        <f>G18</f>
        <v>7.7304768192175714E-3</v>
      </c>
      <c r="J18" s="662"/>
    </row>
    <row r="19" spans="2:10" x14ac:dyDescent="0.2">
      <c r="B19" s="653"/>
      <c r="D19" s="658"/>
      <c r="E19" s="659"/>
      <c r="F19" s="660"/>
      <c r="G19" s="661"/>
      <c r="H19" s="660"/>
      <c r="I19" s="661"/>
    </row>
    <row r="20" spans="2:10" x14ac:dyDescent="0.2">
      <c r="B20" s="653" t="s">
        <v>605</v>
      </c>
      <c r="C20" s="644" t="s">
        <v>606</v>
      </c>
      <c r="D20" s="658">
        <v>215</v>
      </c>
      <c r="E20" s="659">
        <v>39775</v>
      </c>
      <c r="F20" s="660">
        <f>BillsDetail!N290</f>
        <v>87.5</v>
      </c>
      <c r="G20" s="661">
        <f>BillsDetail!O290</f>
        <v>8.9462905612033624E-3</v>
      </c>
      <c r="H20" s="660">
        <f>F20*12</f>
        <v>1050</v>
      </c>
      <c r="I20" s="661">
        <f>G20</f>
        <v>8.9462905612033624E-3</v>
      </c>
      <c r="J20" s="662"/>
    </row>
    <row r="21" spans="2:10" x14ac:dyDescent="0.2">
      <c r="B21" s="653" t="s">
        <v>605</v>
      </c>
      <c r="C21" s="644" t="s">
        <v>606</v>
      </c>
      <c r="D21" s="658">
        <v>209</v>
      </c>
      <c r="E21" s="659">
        <v>75240</v>
      </c>
      <c r="F21" s="660">
        <f>BillsDetail!N300</f>
        <v>165.52000000000044</v>
      </c>
      <c r="G21" s="661">
        <f>BillsDetail!O300</f>
        <v>1.1053391111209085E-2</v>
      </c>
      <c r="H21" s="660">
        <f>F21*12</f>
        <v>1986.2400000000052</v>
      </c>
      <c r="I21" s="661">
        <f>G21</f>
        <v>1.1053391111209085E-2</v>
      </c>
      <c r="J21" s="662"/>
    </row>
    <row r="22" spans="2:10" x14ac:dyDescent="0.2">
      <c r="B22" s="653" t="s">
        <v>605</v>
      </c>
      <c r="C22" s="644" t="s">
        <v>606</v>
      </c>
      <c r="D22" s="658">
        <v>207</v>
      </c>
      <c r="E22" s="659">
        <v>101430</v>
      </c>
      <c r="F22" s="660">
        <f>BillsDetail!N310</f>
        <v>223.15000000000146</v>
      </c>
      <c r="G22" s="661">
        <f>BillsDetail!O310</f>
        <v>1.1838491463712967E-2</v>
      </c>
      <c r="H22" s="660">
        <f>F22*12</f>
        <v>2677.8000000000175</v>
      </c>
      <c r="I22" s="661">
        <f>G22</f>
        <v>1.1838491463712967E-2</v>
      </c>
      <c r="J22" s="662"/>
    </row>
    <row r="23" spans="2:10" x14ac:dyDescent="0.2">
      <c r="B23" s="653"/>
      <c r="D23" s="658"/>
      <c r="E23" s="659"/>
      <c r="F23" s="660"/>
      <c r="G23" s="661"/>
      <c r="H23" s="660"/>
      <c r="I23" s="661"/>
    </row>
    <row r="24" spans="2:10" x14ac:dyDescent="0.2">
      <c r="B24" s="653" t="s">
        <v>607</v>
      </c>
      <c r="C24" s="644" t="s">
        <v>608</v>
      </c>
      <c r="D24" s="658">
        <v>920</v>
      </c>
      <c r="E24" s="659">
        <v>230000</v>
      </c>
      <c r="F24" s="660">
        <f>BillsDetail!N359</f>
        <v>506</v>
      </c>
      <c r="G24" s="661">
        <f>BillsDetail!O359</f>
        <v>1.0723156083377835E-2</v>
      </c>
      <c r="H24" s="660">
        <f>F24*12</f>
        <v>6072</v>
      </c>
      <c r="I24" s="661">
        <f>G24</f>
        <v>1.0723156083377835E-2</v>
      </c>
      <c r="J24" s="662"/>
    </row>
    <row r="25" spans="2:10" x14ac:dyDescent="0.2">
      <c r="B25" s="653" t="s">
        <v>607</v>
      </c>
      <c r="C25" s="644" t="s">
        <v>608</v>
      </c>
      <c r="D25" s="658">
        <v>933</v>
      </c>
      <c r="E25" s="659">
        <v>373200</v>
      </c>
      <c r="F25" s="660">
        <f>BillsDetail!N367</f>
        <v>821.0399999999936</v>
      </c>
      <c r="G25" s="661">
        <f>BillsDetail!O367</f>
        <v>1.2303083458043863E-2</v>
      </c>
      <c r="H25" s="660">
        <f>F25*12</f>
        <v>9852.4799999999232</v>
      </c>
      <c r="I25" s="661">
        <f>G25</f>
        <v>1.2303083458043863E-2</v>
      </c>
      <c r="J25" s="662"/>
    </row>
    <row r="26" spans="2:10" x14ac:dyDescent="0.2">
      <c r="B26" s="653" t="s">
        <v>607</v>
      </c>
      <c r="C26" s="644" t="s">
        <v>608</v>
      </c>
      <c r="D26" s="658">
        <v>930</v>
      </c>
      <c r="E26" s="659">
        <v>497550</v>
      </c>
      <c r="F26" s="660">
        <f>BillsDetail!N375</f>
        <v>1094.6100000000151</v>
      </c>
      <c r="G26" s="661">
        <f>BillsDetail!O375</f>
        <v>1.3113475572391693E-2</v>
      </c>
      <c r="H26" s="660">
        <f>F26*12</f>
        <v>13135.320000000182</v>
      </c>
      <c r="I26" s="661">
        <f>G26</f>
        <v>1.3113475572391693E-2</v>
      </c>
      <c r="J26" s="662"/>
    </row>
    <row r="27" spans="2:10" x14ac:dyDescent="0.2">
      <c r="B27" s="653"/>
      <c r="E27" s="650"/>
      <c r="F27" s="660"/>
      <c r="G27" s="650"/>
      <c r="H27" s="660"/>
      <c r="I27" s="650"/>
    </row>
    <row r="28" spans="2:10" x14ac:dyDescent="0.2">
      <c r="B28" s="653" t="s">
        <v>609</v>
      </c>
      <c r="C28" s="644" t="s">
        <v>610</v>
      </c>
      <c r="D28" s="663">
        <f>BillsDetail!D424</f>
        <v>50</v>
      </c>
      <c r="E28" s="664">
        <v>5000</v>
      </c>
      <c r="F28" s="660">
        <f>BillsDetail!N424</f>
        <v>11</v>
      </c>
      <c r="G28" s="665">
        <f>BillsDetail!O424</f>
        <v>7.0397747272087294E-3</v>
      </c>
      <c r="H28" s="660">
        <f>F28*12</f>
        <v>132</v>
      </c>
      <c r="I28" s="661">
        <f>G28</f>
        <v>7.0397747272087294E-3</v>
      </c>
      <c r="J28" s="662"/>
    </row>
    <row r="29" spans="2:10" x14ac:dyDescent="0.2">
      <c r="B29" s="653" t="s">
        <v>609</v>
      </c>
      <c r="C29" s="644" t="s">
        <v>610</v>
      </c>
      <c r="D29" s="663">
        <f>BillsDetail!D432</f>
        <v>35</v>
      </c>
      <c r="E29" s="664">
        <v>7525</v>
      </c>
      <c r="F29" s="660">
        <f>BillsDetail!N432</f>
        <v>16.559999999999945</v>
      </c>
      <c r="G29" s="665">
        <f>BillsDetail!O432</f>
        <v>8.2870025171269453E-3</v>
      </c>
      <c r="H29" s="660">
        <f>F29*12</f>
        <v>198.71999999999935</v>
      </c>
      <c r="I29" s="661">
        <f>G29</f>
        <v>8.2870025171269453E-3</v>
      </c>
      <c r="J29" s="662"/>
    </row>
    <row r="30" spans="2:10" x14ac:dyDescent="0.2">
      <c r="B30" s="653" t="s">
        <v>609</v>
      </c>
      <c r="C30" s="644" t="s">
        <v>610</v>
      </c>
      <c r="D30" s="663">
        <f>BillsDetail!D440</f>
        <v>27</v>
      </c>
      <c r="E30" s="664">
        <v>10530</v>
      </c>
      <c r="F30" s="660">
        <f>BillsDetail!N440</f>
        <v>23.159999999999854</v>
      </c>
      <c r="G30" s="665">
        <f>BillsDetail!O440</f>
        <v>8.9024193362392482E-3</v>
      </c>
      <c r="H30" s="660">
        <f>F30*12</f>
        <v>277.91999999999825</v>
      </c>
      <c r="I30" s="661">
        <f>G30</f>
        <v>8.9024193362392482E-3</v>
      </c>
      <c r="J30" s="662"/>
    </row>
    <row r="31" spans="2:10" x14ac:dyDescent="0.2">
      <c r="B31" s="653"/>
      <c r="D31" s="663"/>
      <c r="E31" s="664"/>
      <c r="F31" s="660"/>
      <c r="G31" s="666"/>
      <c r="H31" s="660"/>
      <c r="I31" s="661"/>
      <c r="J31" s="662"/>
    </row>
    <row r="32" spans="2:10" x14ac:dyDescent="0.2">
      <c r="B32" s="653" t="s">
        <v>611</v>
      </c>
      <c r="C32" s="644" t="s">
        <v>612</v>
      </c>
      <c r="D32" s="663"/>
      <c r="E32" s="664">
        <f>BillsDetail!D488</f>
        <v>69100</v>
      </c>
      <c r="F32" s="660">
        <f>BillsDetail!N488</f>
        <v>152.02000000000044</v>
      </c>
      <c r="G32" s="666">
        <f>BillsDetail!O488</f>
        <v>8.4867635072519033E-3</v>
      </c>
      <c r="H32" s="660">
        <f>F32*12</f>
        <v>1824.2400000000052</v>
      </c>
      <c r="I32" s="661">
        <f>G32</f>
        <v>8.4867635072519033E-3</v>
      </c>
      <c r="J32" s="662"/>
    </row>
    <row r="33" spans="2:10" x14ac:dyDescent="0.2">
      <c r="B33" s="653"/>
      <c r="D33" s="663"/>
      <c r="E33" s="664"/>
      <c r="F33" s="660"/>
      <c r="G33" s="666"/>
      <c r="H33" s="660"/>
      <c r="I33" s="661"/>
      <c r="J33" s="662"/>
    </row>
    <row r="34" spans="2:10" x14ac:dyDescent="0.2">
      <c r="B34" s="653" t="s">
        <v>613</v>
      </c>
      <c r="C34" s="644" t="s">
        <v>614</v>
      </c>
      <c r="D34" s="667">
        <f>BillsDetail!D537</f>
        <v>9</v>
      </c>
      <c r="E34" s="664">
        <f>BillsDetail!E537</f>
        <v>2340</v>
      </c>
      <c r="F34" s="660">
        <f>BillsDetail!N537</f>
        <v>5.1480000000000246</v>
      </c>
      <c r="G34" s="665">
        <f>BillsDetail!O537</f>
        <v>7.7479443791508423E-3</v>
      </c>
      <c r="H34" s="660">
        <f>F34*12</f>
        <v>61.776000000000295</v>
      </c>
      <c r="I34" s="661">
        <f>G34</f>
        <v>7.7479443791508423E-3</v>
      </c>
      <c r="J34" s="662"/>
    </row>
    <row r="35" spans="2:10" x14ac:dyDescent="0.2">
      <c r="B35" s="653" t="s">
        <v>613</v>
      </c>
      <c r="C35" s="644" t="s">
        <v>614</v>
      </c>
      <c r="D35" s="668">
        <f>BillsDetail!D545</f>
        <v>6</v>
      </c>
      <c r="E35" s="669">
        <f>BillsDetail!E545</f>
        <v>2970</v>
      </c>
      <c r="F35" s="660">
        <f>BillsDetail!N545</f>
        <v>6.5339999999999918</v>
      </c>
      <c r="G35" s="665">
        <f>BillsDetail!O545</f>
        <v>8.0181799406465609E-3</v>
      </c>
      <c r="H35" s="660">
        <f>F35*12</f>
        <v>78.407999999999902</v>
      </c>
      <c r="I35" s="661">
        <f>G35</f>
        <v>8.0181799406465609E-3</v>
      </c>
      <c r="J35" s="662"/>
    </row>
    <row r="36" spans="2:10" x14ac:dyDescent="0.2">
      <c r="B36" s="670" t="s">
        <v>613</v>
      </c>
      <c r="C36" s="646" t="s">
        <v>614</v>
      </c>
      <c r="D36" s="671">
        <f>BillsDetail!D553</f>
        <v>7</v>
      </c>
      <c r="E36" s="672">
        <f>BillsDetail!E553</f>
        <v>4375</v>
      </c>
      <c r="F36" s="673">
        <f>BillsDetail!N553</f>
        <v>9.625</v>
      </c>
      <c r="G36" s="674">
        <f>BillsDetail!O553</f>
        <v>8.1352995401442699E-3</v>
      </c>
      <c r="H36" s="673">
        <f>F36*12</f>
        <v>115.5</v>
      </c>
      <c r="I36" s="675">
        <f>G36</f>
        <v>8.1352995401442699E-3</v>
      </c>
    </row>
    <row r="37" spans="2:10" x14ac:dyDescent="0.2">
      <c r="C37" s="644" t="s">
        <v>27</v>
      </c>
    </row>
    <row r="39" spans="2:10" x14ac:dyDescent="0.2">
      <c r="I39" s="644" t="s">
        <v>27</v>
      </c>
    </row>
    <row r="43" spans="2:10" x14ac:dyDescent="0.2">
      <c r="E43" s="676"/>
      <c r="F43" s="677" t="s">
        <v>615</v>
      </c>
      <c r="G43" s="678" t="s">
        <v>616</v>
      </c>
      <c r="H43" s="677" t="s">
        <v>615</v>
      </c>
      <c r="I43" s="678" t="s">
        <v>616</v>
      </c>
    </row>
    <row r="44" spans="2:10" x14ac:dyDescent="0.2">
      <c r="E44" s="647" t="s">
        <v>617</v>
      </c>
      <c r="F44" s="679" t="str">
        <f>IFERROR(INDEX($B$18:$B$26,MATCH(F45,$G$18:$G$26,0),0),"")</f>
        <v>Rate G-1 Small General Service</v>
      </c>
      <c r="G44" s="680" t="str">
        <f>IFERROR(INDEX($B$18:$B$26,MATCH(G45,$G$18:$G$26,0),0),"")</f>
        <v>Rate G-3 Large General Service</v>
      </c>
      <c r="H44" s="679" t="str">
        <f>IFERROR(INDEX($B$18:$B$26,MATCH(H45,$G$18:$G$26,0),0),"")</f>
        <v>Rate G-1 Small General Service</v>
      </c>
      <c r="I44" s="680" t="str">
        <f>IFERROR(INDEX($B$18:$B$26,MATCH(I45,$G$18:$G$26,0),0),"")</f>
        <v>Rate G-3 Large General Service</v>
      </c>
      <c r="J44" s="644" t="s">
        <v>27</v>
      </c>
    </row>
    <row r="45" spans="2:10" x14ac:dyDescent="0.2">
      <c r="E45" s="647" t="s">
        <v>618</v>
      </c>
      <c r="F45" s="681">
        <f>IFERROR(MIN(G18:G26),"")</f>
        <v>7.7304768192175714E-3</v>
      </c>
      <c r="G45" s="682">
        <f>IFERROR(MAX(G18:G26),"")</f>
        <v>1.3113475572391693E-2</v>
      </c>
      <c r="H45" s="681">
        <f>IFERROR(MIN(I18:I26),"")</f>
        <v>7.7304768192175714E-3</v>
      </c>
      <c r="I45" s="682">
        <f>IFERROR(MAX(I18:I26),"")</f>
        <v>1.3113475572391693E-2</v>
      </c>
    </row>
    <row r="46" spans="2:10" x14ac:dyDescent="0.2">
      <c r="E46" s="647" t="s">
        <v>619</v>
      </c>
      <c r="F46" s="683">
        <f>INDEX(F18:F26,MATCH(F45,G18:G26,0))</f>
        <v>3.6299999999999955</v>
      </c>
      <c r="G46" s="684">
        <f>INDEX(F18:F26,MATCH(G45,G18:G26,0))</f>
        <v>1094.6100000000151</v>
      </c>
      <c r="H46" s="683">
        <f>INDEX(H18:H26,MATCH(H45,I18:I26,0))</f>
        <v>43.559999999999945</v>
      </c>
      <c r="I46" s="684">
        <f>INDEX(H18:H26,MATCH(I45,I18:I26,0))</f>
        <v>13135.320000000182</v>
      </c>
    </row>
    <row r="48" spans="2:10" x14ac:dyDescent="0.2">
      <c r="E48" s="647" t="s">
        <v>620</v>
      </c>
      <c r="F48" s="679" t="str">
        <f>IFERROR(INDEX($B$10:$B$26,MATCH(F49,$G$10:$G$26,0),0),"")</f>
        <v>Rate G-1 Small General Service</v>
      </c>
      <c r="G48" s="680" t="str">
        <f>IFERROR(INDEX($B$10:$B$26,MATCH(G49,$G$10:$G$26,0),0),"")</f>
        <v>Rate G-3 Large General Service</v>
      </c>
      <c r="H48" s="679" t="str">
        <f>IFERROR(INDEX($B$10:$B$26,MATCH(H49,$G$10:$G$26,0),0),"")</f>
        <v>Rate G-1 Small General Service</v>
      </c>
      <c r="I48" s="680" t="str">
        <f>IFERROR(INDEX($B$10:$B$26,MATCH(I49,$G$10:$G$26,0),0),"")</f>
        <v>Rate G-3 Large General Service</v>
      </c>
      <c r="J48" s="644" t="s">
        <v>27</v>
      </c>
    </row>
    <row r="49" spans="5:10" x14ac:dyDescent="0.2">
      <c r="E49" s="647" t="s">
        <v>621</v>
      </c>
      <c r="F49" s="681">
        <f>IFERROR(MIN(G10:G26),"")</f>
        <v>7.7304768192175714E-3</v>
      </c>
      <c r="G49" s="682">
        <f>IFERROR(MAX(G10:G26),"")</f>
        <v>1.3113475572391693E-2</v>
      </c>
      <c r="H49" s="681">
        <f>IFERROR(MIN(I10:I26),"")</f>
        <v>7.7304768192175714E-3</v>
      </c>
      <c r="I49" s="682">
        <f>IFERROR(MAX(I10:I26),"")</f>
        <v>1.3113475572391693E-2</v>
      </c>
    </row>
    <row r="50" spans="5:10" x14ac:dyDescent="0.2">
      <c r="E50" s="647" t="s">
        <v>195</v>
      </c>
      <c r="F50" s="685">
        <f>INDEX(F10:F26,MATCH(F49,G10:G26,0))</f>
        <v>3.6299999999999955</v>
      </c>
      <c r="G50" s="684">
        <f>INDEX(F10:F26,MATCH(G49,G10:G26,0))</f>
        <v>1094.6100000000151</v>
      </c>
      <c r="H50" s="685">
        <f>INDEX(H10:H26,MATCH(H49,I10:I26,0))</f>
        <v>43.559999999999945</v>
      </c>
      <c r="I50" s="684">
        <f>INDEX(H10:H26,MATCH(I49,I10:I26,0))</f>
        <v>13135.320000000182</v>
      </c>
      <c r="J50" s="686"/>
    </row>
  </sheetData>
  <mergeCells count="10">
    <mergeCell ref="F6:G6"/>
    <mergeCell ref="H6:I6"/>
    <mergeCell ref="D7:E7"/>
    <mergeCell ref="F7:G7"/>
    <mergeCell ref="H7:I7"/>
    <mergeCell ref="B2:J2"/>
    <mergeCell ref="B3:J3"/>
    <mergeCell ref="B5:E5"/>
    <mergeCell ref="F5:G5"/>
    <mergeCell ref="H5:I5"/>
  </mergeCells>
  <printOptions horizontalCentered="1"/>
  <pageMargins left="0.7" right="0.7" top="1" bottom="0.75" header="0.5"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CE9F0-97A3-4A60-905D-A9079774F777}">
  <sheetPr codeName="Sheet27">
    <tabColor theme="7"/>
  </sheetPr>
  <dimension ref="B3:T591"/>
  <sheetViews>
    <sheetView showGridLines="0" zoomScale="85" zoomScaleNormal="85" workbookViewId="0"/>
  </sheetViews>
  <sheetFormatPr defaultRowHeight="15" x14ac:dyDescent="0.2"/>
  <cols>
    <col min="1" max="1" width="3" style="687" customWidth="1"/>
    <col min="2" max="2" width="4.42578125" style="687" bestFit="1" customWidth="1"/>
    <col min="3" max="3" width="5" style="687" customWidth="1"/>
    <col min="4" max="5" width="16.42578125" style="687" customWidth="1"/>
    <col min="6" max="6" width="13" style="687" customWidth="1"/>
    <col min="7" max="7" width="13.5703125" style="687" customWidth="1"/>
    <col min="8" max="8" width="15.85546875" style="687" customWidth="1"/>
    <col min="9" max="9" width="2.5703125" style="687" customWidth="1"/>
    <col min="10" max="10" width="14.28515625" style="687" bestFit="1" customWidth="1"/>
    <col min="11" max="11" width="13.5703125" style="687" bestFit="1" customWidth="1"/>
    <col min="12" max="12" width="16.28515625" style="687" bestFit="1" customWidth="1"/>
    <col min="13" max="13" width="2.5703125" style="687" customWidth="1"/>
    <col min="14" max="14" width="16.28515625" style="687" bestFit="1" customWidth="1"/>
    <col min="15" max="15" width="10.5703125" style="687" bestFit="1" customWidth="1"/>
    <col min="16" max="16" width="2.5703125" style="687" customWidth="1"/>
    <col min="17" max="17" width="12.85546875" style="687" bestFit="1" customWidth="1"/>
    <col min="18" max="18" width="16.28515625" style="687" bestFit="1" customWidth="1"/>
    <col min="19" max="216" width="9.140625" style="687"/>
    <col min="217" max="218" width="14.28515625" style="687" customWidth="1"/>
    <col min="219" max="224" width="18.28515625" style="687" customWidth="1"/>
    <col min="225" max="225" width="23.85546875" style="687" customWidth="1"/>
    <col min="226" max="226" width="18.28515625" style="687" customWidth="1"/>
    <col min="227" max="227" width="17.140625" style="687" customWidth="1"/>
    <col min="228" max="230" width="15.5703125" style="687" customWidth="1"/>
    <col min="231" max="241" width="0" style="687" hidden="1" customWidth="1"/>
    <col min="242" max="472" width="9.140625" style="687"/>
    <col min="473" max="474" width="14.28515625" style="687" customWidth="1"/>
    <col min="475" max="480" width="18.28515625" style="687" customWidth="1"/>
    <col min="481" max="481" width="23.85546875" style="687" customWidth="1"/>
    <col min="482" max="482" width="18.28515625" style="687" customWidth="1"/>
    <col min="483" max="483" width="17.140625" style="687" customWidth="1"/>
    <col min="484" max="486" width="15.5703125" style="687" customWidth="1"/>
    <col min="487" max="497" width="0" style="687" hidden="1" customWidth="1"/>
    <col min="498" max="728" width="9.140625" style="687"/>
    <col min="729" max="730" width="14.28515625" style="687" customWidth="1"/>
    <col min="731" max="736" width="18.28515625" style="687" customWidth="1"/>
    <col min="737" max="737" width="23.85546875" style="687" customWidth="1"/>
    <col min="738" max="738" width="18.28515625" style="687" customWidth="1"/>
    <col min="739" max="739" width="17.140625" style="687" customWidth="1"/>
    <col min="740" max="742" width="15.5703125" style="687" customWidth="1"/>
    <col min="743" max="753" width="0" style="687" hidden="1" customWidth="1"/>
    <col min="754" max="984" width="9.140625" style="687"/>
    <col min="985" max="986" width="14.28515625" style="687" customWidth="1"/>
    <col min="987" max="992" width="18.28515625" style="687" customWidth="1"/>
    <col min="993" max="993" width="23.85546875" style="687" customWidth="1"/>
    <col min="994" max="994" width="18.28515625" style="687" customWidth="1"/>
    <col min="995" max="995" width="17.140625" style="687" customWidth="1"/>
    <col min="996" max="998" width="15.5703125" style="687" customWidth="1"/>
    <col min="999" max="1009" width="0" style="687" hidden="1" customWidth="1"/>
    <col min="1010" max="1240" width="9.140625" style="687"/>
    <col min="1241" max="1242" width="14.28515625" style="687" customWidth="1"/>
    <col min="1243" max="1248" width="18.28515625" style="687" customWidth="1"/>
    <col min="1249" max="1249" width="23.85546875" style="687" customWidth="1"/>
    <col min="1250" max="1250" width="18.28515625" style="687" customWidth="1"/>
    <col min="1251" max="1251" width="17.140625" style="687" customWidth="1"/>
    <col min="1252" max="1254" width="15.5703125" style="687" customWidth="1"/>
    <col min="1255" max="1265" width="0" style="687" hidden="1" customWidth="1"/>
    <col min="1266" max="1496" width="9.140625" style="687"/>
    <col min="1497" max="1498" width="14.28515625" style="687" customWidth="1"/>
    <col min="1499" max="1504" width="18.28515625" style="687" customWidth="1"/>
    <col min="1505" max="1505" width="23.85546875" style="687" customWidth="1"/>
    <col min="1506" max="1506" width="18.28515625" style="687" customWidth="1"/>
    <col min="1507" max="1507" width="17.140625" style="687" customWidth="1"/>
    <col min="1508" max="1510" width="15.5703125" style="687" customWidth="1"/>
    <col min="1511" max="1521" width="0" style="687" hidden="1" customWidth="1"/>
    <col min="1522" max="1752" width="9.140625" style="687"/>
    <col min="1753" max="1754" width="14.28515625" style="687" customWidth="1"/>
    <col min="1755" max="1760" width="18.28515625" style="687" customWidth="1"/>
    <col min="1761" max="1761" width="23.85546875" style="687" customWidth="1"/>
    <col min="1762" max="1762" width="18.28515625" style="687" customWidth="1"/>
    <col min="1763" max="1763" width="17.140625" style="687" customWidth="1"/>
    <col min="1764" max="1766" width="15.5703125" style="687" customWidth="1"/>
    <col min="1767" max="1777" width="0" style="687" hidden="1" customWidth="1"/>
    <col min="1778" max="2008" width="9.140625" style="687"/>
    <col min="2009" max="2010" width="14.28515625" style="687" customWidth="1"/>
    <col min="2011" max="2016" width="18.28515625" style="687" customWidth="1"/>
    <col min="2017" max="2017" width="23.85546875" style="687" customWidth="1"/>
    <col min="2018" max="2018" width="18.28515625" style="687" customWidth="1"/>
    <col min="2019" max="2019" width="17.140625" style="687" customWidth="1"/>
    <col min="2020" max="2022" width="15.5703125" style="687" customWidth="1"/>
    <col min="2023" max="2033" width="0" style="687" hidden="1" customWidth="1"/>
    <col min="2034" max="2264" width="9.140625" style="687"/>
    <col min="2265" max="2266" width="14.28515625" style="687" customWidth="1"/>
    <col min="2267" max="2272" width="18.28515625" style="687" customWidth="1"/>
    <col min="2273" max="2273" width="23.85546875" style="687" customWidth="1"/>
    <col min="2274" max="2274" width="18.28515625" style="687" customWidth="1"/>
    <col min="2275" max="2275" width="17.140625" style="687" customWidth="1"/>
    <col min="2276" max="2278" width="15.5703125" style="687" customWidth="1"/>
    <col min="2279" max="2289" width="0" style="687" hidden="1" customWidth="1"/>
    <col min="2290" max="2520" width="9.140625" style="687"/>
    <col min="2521" max="2522" width="14.28515625" style="687" customWidth="1"/>
    <col min="2523" max="2528" width="18.28515625" style="687" customWidth="1"/>
    <col min="2529" max="2529" width="23.85546875" style="687" customWidth="1"/>
    <col min="2530" max="2530" width="18.28515625" style="687" customWidth="1"/>
    <col min="2531" max="2531" width="17.140625" style="687" customWidth="1"/>
    <col min="2532" max="2534" width="15.5703125" style="687" customWidth="1"/>
    <col min="2535" max="2545" width="0" style="687" hidden="1" customWidth="1"/>
    <col min="2546" max="2776" width="9.140625" style="687"/>
    <col min="2777" max="2778" width="14.28515625" style="687" customWidth="1"/>
    <col min="2779" max="2784" width="18.28515625" style="687" customWidth="1"/>
    <col min="2785" max="2785" width="23.85546875" style="687" customWidth="1"/>
    <col min="2786" max="2786" width="18.28515625" style="687" customWidth="1"/>
    <col min="2787" max="2787" width="17.140625" style="687" customWidth="1"/>
    <col min="2788" max="2790" width="15.5703125" style="687" customWidth="1"/>
    <col min="2791" max="2801" width="0" style="687" hidden="1" customWidth="1"/>
    <col min="2802" max="3032" width="9.140625" style="687"/>
    <col min="3033" max="3034" width="14.28515625" style="687" customWidth="1"/>
    <col min="3035" max="3040" width="18.28515625" style="687" customWidth="1"/>
    <col min="3041" max="3041" width="23.85546875" style="687" customWidth="1"/>
    <col min="3042" max="3042" width="18.28515625" style="687" customWidth="1"/>
    <col min="3043" max="3043" width="17.140625" style="687" customWidth="1"/>
    <col min="3044" max="3046" width="15.5703125" style="687" customWidth="1"/>
    <col min="3047" max="3057" width="0" style="687" hidden="1" customWidth="1"/>
    <col min="3058" max="3288" width="9.140625" style="687"/>
    <col min="3289" max="3290" width="14.28515625" style="687" customWidth="1"/>
    <col min="3291" max="3296" width="18.28515625" style="687" customWidth="1"/>
    <col min="3297" max="3297" width="23.85546875" style="687" customWidth="1"/>
    <col min="3298" max="3298" width="18.28515625" style="687" customWidth="1"/>
    <col min="3299" max="3299" width="17.140625" style="687" customWidth="1"/>
    <col min="3300" max="3302" width="15.5703125" style="687" customWidth="1"/>
    <col min="3303" max="3313" width="0" style="687" hidden="1" customWidth="1"/>
    <col min="3314" max="3544" width="9.140625" style="687"/>
    <col min="3545" max="3546" width="14.28515625" style="687" customWidth="1"/>
    <col min="3547" max="3552" width="18.28515625" style="687" customWidth="1"/>
    <col min="3553" max="3553" width="23.85546875" style="687" customWidth="1"/>
    <col min="3554" max="3554" width="18.28515625" style="687" customWidth="1"/>
    <col min="3555" max="3555" width="17.140625" style="687" customWidth="1"/>
    <col min="3556" max="3558" width="15.5703125" style="687" customWidth="1"/>
    <col min="3559" max="3569" width="0" style="687" hidden="1" customWidth="1"/>
    <col min="3570" max="3800" width="9.140625" style="687"/>
    <col min="3801" max="3802" width="14.28515625" style="687" customWidth="1"/>
    <col min="3803" max="3808" width="18.28515625" style="687" customWidth="1"/>
    <col min="3809" max="3809" width="23.85546875" style="687" customWidth="1"/>
    <col min="3810" max="3810" width="18.28515625" style="687" customWidth="1"/>
    <col min="3811" max="3811" width="17.140625" style="687" customWidth="1"/>
    <col min="3812" max="3814" width="15.5703125" style="687" customWidth="1"/>
    <col min="3815" max="3825" width="0" style="687" hidden="1" customWidth="1"/>
    <col min="3826" max="4056" width="9.140625" style="687"/>
    <col min="4057" max="4058" width="14.28515625" style="687" customWidth="1"/>
    <col min="4059" max="4064" width="18.28515625" style="687" customWidth="1"/>
    <col min="4065" max="4065" width="23.85546875" style="687" customWidth="1"/>
    <col min="4066" max="4066" width="18.28515625" style="687" customWidth="1"/>
    <col min="4067" max="4067" width="17.140625" style="687" customWidth="1"/>
    <col min="4068" max="4070" width="15.5703125" style="687" customWidth="1"/>
    <col min="4071" max="4081" width="0" style="687" hidden="1" customWidth="1"/>
    <col min="4082" max="4312" width="9.140625" style="687"/>
    <col min="4313" max="4314" width="14.28515625" style="687" customWidth="1"/>
    <col min="4315" max="4320" width="18.28515625" style="687" customWidth="1"/>
    <col min="4321" max="4321" width="23.85546875" style="687" customWidth="1"/>
    <col min="4322" max="4322" width="18.28515625" style="687" customWidth="1"/>
    <col min="4323" max="4323" width="17.140625" style="687" customWidth="1"/>
    <col min="4324" max="4326" width="15.5703125" style="687" customWidth="1"/>
    <col min="4327" max="4337" width="0" style="687" hidden="1" customWidth="1"/>
    <col min="4338" max="4568" width="9.140625" style="687"/>
    <col min="4569" max="4570" width="14.28515625" style="687" customWidth="1"/>
    <col min="4571" max="4576" width="18.28515625" style="687" customWidth="1"/>
    <col min="4577" max="4577" width="23.85546875" style="687" customWidth="1"/>
    <col min="4578" max="4578" width="18.28515625" style="687" customWidth="1"/>
    <col min="4579" max="4579" width="17.140625" style="687" customWidth="1"/>
    <col min="4580" max="4582" width="15.5703125" style="687" customWidth="1"/>
    <col min="4583" max="4593" width="0" style="687" hidden="1" customWidth="1"/>
    <col min="4594" max="4824" width="9.140625" style="687"/>
    <col min="4825" max="4826" width="14.28515625" style="687" customWidth="1"/>
    <col min="4827" max="4832" width="18.28515625" style="687" customWidth="1"/>
    <col min="4833" max="4833" width="23.85546875" style="687" customWidth="1"/>
    <col min="4834" max="4834" width="18.28515625" style="687" customWidth="1"/>
    <col min="4835" max="4835" width="17.140625" style="687" customWidth="1"/>
    <col min="4836" max="4838" width="15.5703125" style="687" customWidth="1"/>
    <col min="4839" max="4849" width="0" style="687" hidden="1" customWidth="1"/>
    <col min="4850" max="5080" width="9.140625" style="687"/>
    <col min="5081" max="5082" width="14.28515625" style="687" customWidth="1"/>
    <col min="5083" max="5088" width="18.28515625" style="687" customWidth="1"/>
    <col min="5089" max="5089" width="23.85546875" style="687" customWidth="1"/>
    <col min="5090" max="5090" width="18.28515625" style="687" customWidth="1"/>
    <col min="5091" max="5091" width="17.140625" style="687" customWidth="1"/>
    <col min="5092" max="5094" width="15.5703125" style="687" customWidth="1"/>
    <col min="5095" max="5105" width="0" style="687" hidden="1" customWidth="1"/>
    <col min="5106" max="5336" width="9.140625" style="687"/>
    <col min="5337" max="5338" width="14.28515625" style="687" customWidth="1"/>
    <col min="5339" max="5344" width="18.28515625" style="687" customWidth="1"/>
    <col min="5345" max="5345" width="23.85546875" style="687" customWidth="1"/>
    <col min="5346" max="5346" width="18.28515625" style="687" customWidth="1"/>
    <col min="5347" max="5347" width="17.140625" style="687" customWidth="1"/>
    <col min="5348" max="5350" width="15.5703125" style="687" customWidth="1"/>
    <col min="5351" max="5361" width="0" style="687" hidden="1" customWidth="1"/>
    <col min="5362" max="5592" width="9.140625" style="687"/>
    <col min="5593" max="5594" width="14.28515625" style="687" customWidth="1"/>
    <col min="5595" max="5600" width="18.28515625" style="687" customWidth="1"/>
    <col min="5601" max="5601" width="23.85546875" style="687" customWidth="1"/>
    <col min="5602" max="5602" width="18.28515625" style="687" customWidth="1"/>
    <col min="5603" max="5603" width="17.140625" style="687" customWidth="1"/>
    <col min="5604" max="5606" width="15.5703125" style="687" customWidth="1"/>
    <col min="5607" max="5617" width="0" style="687" hidden="1" customWidth="1"/>
    <col min="5618" max="5848" width="9.140625" style="687"/>
    <col min="5849" max="5850" width="14.28515625" style="687" customWidth="1"/>
    <col min="5851" max="5856" width="18.28515625" style="687" customWidth="1"/>
    <col min="5857" max="5857" width="23.85546875" style="687" customWidth="1"/>
    <col min="5858" max="5858" width="18.28515625" style="687" customWidth="1"/>
    <col min="5859" max="5859" width="17.140625" style="687" customWidth="1"/>
    <col min="5860" max="5862" width="15.5703125" style="687" customWidth="1"/>
    <col min="5863" max="5873" width="0" style="687" hidden="1" customWidth="1"/>
    <col min="5874" max="6104" width="9.140625" style="687"/>
    <col min="6105" max="6106" width="14.28515625" style="687" customWidth="1"/>
    <col min="6107" max="6112" width="18.28515625" style="687" customWidth="1"/>
    <col min="6113" max="6113" width="23.85546875" style="687" customWidth="1"/>
    <col min="6114" max="6114" width="18.28515625" style="687" customWidth="1"/>
    <col min="6115" max="6115" width="17.140625" style="687" customWidth="1"/>
    <col min="6116" max="6118" width="15.5703125" style="687" customWidth="1"/>
    <col min="6119" max="6129" width="0" style="687" hidden="1" customWidth="1"/>
    <col min="6130" max="6360" width="9.140625" style="687"/>
    <col min="6361" max="6362" width="14.28515625" style="687" customWidth="1"/>
    <col min="6363" max="6368" width="18.28515625" style="687" customWidth="1"/>
    <col min="6369" max="6369" width="23.85546875" style="687" customWidth="1"/>
    <col min="6370" max="6370" width="18.28515625" style="687" customWidth="1"/>
    <col min="6371" max="6371" width="17.140625" style="687" customWidth="1"/>
    <col min="6372" max="6374" width="15.5703125" style="687" customWidth="1"/>
    <col min="6375" max="6385" width="0" style="687" hidden="1" customWidth="1"/>
    <col min="6386" max="6616" width="9.140625" style="687"/>
    <col min="6617" max="6618" width="14.28515625" style="687" customWidth="1"/>
    <col min="6619" max="6624" width="18.28515625" style="687" customWidth="1"/>
    <col min="6625" max="6625" width="23.85546875" style="687" customWidth="1"/>
    <col min="6626" max="6626" width="18.28515625" style="687" customWidth="1"/>
    <col min="6627" max="6627" width="17.140625" style="687" customWidth="1"/>
    <col min="6628" max="6630" width="15.5703125" style="687" customWidth="1"/>
    <col min="6631" max="6641" width="0" style="687" hidden="1" customWidth="1"/>
    <col min="6642" max="6872" width="9.140625" style="687"/>
    <col min="6873" max="6874" width="14.28515625" style="687" customWidth="1"/>
    <col min="6875" max="6880" width="18.28515625" style="687" customWidth="1"/>
    <col min="6881" max="6881" width="23.85546875" style="687" customWidth="1"/>
    <col min="6882" max="6882" width="18.28515625" style="687" customWidth="1"/>
    <col min="6883" max="6883" width="17.140625" style="687" customWidth="1"/>
    <col min="6884" max="6886" width="15.5703125" style="687" customWidth="1"/>
    <col min="6887" max="6897" width="0" style="687" hidden="1" customWidth="1"/>
    <col min="6898" max="7128" width="9.140625" style="687"/>
    <col min="7129" max="7130" width="14.28515625" style="687" customWidth="1"/>
    <col min="7131" max="7136" width="18.28515625" style="687" customWidth="1"/>
    <col min="7137" max="7137" width="23.85546875" style="687" customWidth="1"/>
    <col min="7138" max="7138" width="18.28515625" style="687" customWidth="1"/>
    <col min="7139" max="7139" width="17.140625" style="687" customWidth="1"/>
    <col min="7140" max="7142" width="15.5703125" style="687" customWidth="1"/>
    <col min="7143" max="7153" width="0" style="687" hidden="1" customWidth="1"/>
    <col min="7154" max="7384" width="9.140625" style="687"/>
    <col min="7385" max="7386" width="14.28515625" style="687" customWidth="1"/>
    <col min="7387" max="7392" width="18.28515625" style="687" customWidth="1"/>
    <col min="7393" max="7393" width="23.85546875" style="687" customWidth="1"/>
    <col min="7394" max="7394" width="18.28515625" style="687" customWidth="1"/>
    <col min="7395" max="7395" width="17.140625" style="687" customWidth="1"/>
    <col min="7396" max="7398" width="15.5703125" style="687" customWidth="1"/>
    <col min="7399" max="7409" width="0" style="687" hidden="1" customWidth="1"/>
    <col min="7410" max="7640" width="9.140625" style="687"/>
    <col min="7641" max="7642" width="14.28515625" style="687" customWidth="1"/>
    <col min="7643" max="7648" width="18.28515625" style="687" customWidth="1"/>
    <col min="7649" max="7649" width="23.85546875" style="687" customWidth="1"/>
    <col min="7650" max="7650" width="18.28515625" style="687" customWidth="1"/>
    <col min="7651" max="7651" width="17.140625" style="687" customWidth="1"/>
    <col min="7652" max="7654" width="15.5703125" style="687" customWidth="1"/>
    <col min="7655" max="7665" width="0" style="687" hidden="1" customWidth="1"/>
    <col min="7666" max="7896" width="9.140625" style="687"/>
    <col min="7897" max="7898" width="14.28515625" style="687" customWidth="1"/>
    <col min="7899" max="7904" width="18.28515625" style="687" customWidth="1"/>
    <col min="7905" max="7905" width="23.85546875" style="687" customWidth="1"/>
    <col min="7906" max="7906" width="18.28515625" style="687" customWidth="1"/>
    <col min="7907" max="7907" width="17.140625" style="687" customWidth="1"/>
    <col min="7908" max="7910" width="15.5703125" style="687" customWidth="1"/>
    <col min="7911" max="7921" width="0" style="687" hidden="1" customWidth="1"/>
    <col min="7922" max="8152" width="9.140625" style="687"/>
    <col min="8153" max="8154" width="14.28515625" style="687" customWidth="1"/>
    <col min="8155" max="8160" width="18.28515625" style="687" customWidth="1"/>
    <col min="8161" max="8161" width="23.85546875" style="687" customWidth="1"/>
    <col min="8162" max="8162" width="18.28515625" style="687" customWidth="1"/>
    <col min="8163" max="8163" width="17.140625" style="687" customWidth="1"/>
    <col min="8164" max="8166" width="15.5703125" style="687" customWidth="1"/>
    <col min="8167" max="8177" width="0" style="687" hidden="1" customWidth="1"/>
    <col min="8178" max="8408" width="9.140625" style="687"/>
    <col min="8409" max="8410" width="14.28515625" style="687" customWidth="1"/>
    <col min="8411" max="8416" width="18.28515625" style="687" customWidth="1"/>
    <col min="8417" max="8417" width="23.85546875" style="687" customWidth="1"/>
    <col min="8418" max="8418" width="18.28515625" style="687" customWidth="1"/>
    <col min="8419" max="8419" width="17.140625" style="687" customWidth="1"/>
    <col min="8420" max="8422" width="15.5703125" style="687" customWidth="1"/>
    <col min="8423" max="8433" width="0" style="687" hidden="1" customWidth="1"/>
    <col min="8434" max="8664" width="9.140625" style="687"/>
    <col min="8665" max="8666" width="14.28515625" style="687" customWidth="1"/>
    <col min="8667" max="8672" width="18.28515625" style="687" customWidth="1"/>
    <col min="8673" max="8673" width="23.85546875" style="687" customWidth="1"/>
    <col min="8674" max="8674" width="18.28515625" style="687" customWidth="1"/>
    <col min="8675" max="8675" width="17.140625" style="687" customWidth="1"/>
    <col min="8676" max="8678" width="15.5703125" style="687" customWidth="1"/>
    <col min="8679" max="8689" width="0" style="687" hidden="1" customWidth="1"/>
    <col min="8690" max="8920" width="9.140625" style="687"/>
    <col min="8921" max="8922" width="14.28515625" style="687" customWidth="1"/>
    <col min="8923" max="8928" width="18.28515625" style="687" customWidth="1"/>
    <col min="8929" max="8929" width="23.85546875" style="687" customWidth="1"/>
    <col min="8930" max="8930" width="18.28515625" style="687" customWidth="1"/>
    <col min="8931" max="8931" width="17.140625" style="687" customWidth="1"/>
    <col min="8932" max="8934" width="15.5703125" style="687" customWidth="1"/>
    <col min="8935" max="8945" width="0" style="687" hidden="1" customWidth="1"/>
    <col min="8946" max="9176" width="9.140625" style="687"/>
    <col min="9177" max="9178" width="14.28515625" style="687" customWidth="1"/>
    <col min="9179" max="9184" width="18.28515625" style="687" customWidth="1"/>
    <col min="9185" max="9185" width="23.85546875" style="687" customWidth="1"/>
    <col min="9186" max="9186" width="18.28515625" style="687" customWidth="1"/>
    <col min="9187" max="9187" width="17.140625" style="687" customWidth="1"/>
    <col min="9188" max="9190" width="15.5703125" style="687" customWidth="1"/>
    <col min="9191" max="9201" width="0" style="687" hidden="1" customWidth="1"/>
    <col min="9202" max="9432" width="9.140625" style="687"/>
    <col min="9433" max="9434" width="14.28515625" style="687" customWidth="1"/>
    <col min="9435" max="9440" width="18.28515625" style="687" customWidth="1"/>
    <col min="9441" max="9441" width="23.85546875" style="687" customWidth="1"/>
    <col min="9442" max="9442" width="18.28515625" style="687" customWidth="1"/>
    <col min="9443" max="9443" width="17.140625" style="687" customWidth="1"/>
    <col min="9444" max="9446" width="15.5703125" style="687" customWidth="1"/>
    <col min="9447" max="9457" width="0" style="687" hidden="1" customWidth="1"/>
    <col min="9458" max="9688" width="9.140625" style="687"/>
    <col min="9689" max="9690" width="14.28515625" style="687" customWidth="1"/>
    <col min="9691" max="9696" width="18.28515625" style="687" customWidth="1"/>
    <col min="9697" max="9697" width="23.85546875" style="687" customWidth="1"/>
    <col min="9698" max="9698" width="18.28515625" style="687" customWidth="1"/>
    <col min="9699" max="9699" width="17.140625" style="687" customWidth="1"/>
    <col min="9700" max="9702" width="15.5703125" style="687" customWidth="1"/>
    <col min="9703" max="9713" width="0" style="687" hidden="1" customWidth="1"/>
    <col min="9714" max="9944" width="9.140625" style="687"/>
    <col min="9945" max="9946" width="14.28515625" style="687" customWidth="1"/>
    <col min="9947" max="9952" width="18.28515625" style="687" customWidth="1"/>
    <col min="9953" max="9953" width="23.85546875" style="687" customWidth="1"/>
    <col min="9954" max="9954" width="18.28515625" style="687" customWidth="1"/>
    <col min="9955" max="9955" width="17.140625" style="687" customWidth="1"/>
    <col min="9956" max="9958" width="15.5703125" style="687" customWidth="1"/>
    <col min="9959" max="9969" width="0" style="687" hidden="1" customWidth="1"/>
    <col min="9970" max="10200" width="9.140625" style="687"/>
    <col min="10201" max="10202" width="14.28515625" style="687" customWidth="1"/>
    <col min="10203" max="10208" width="18.28515625" style="687" customWidth="1"/>
    <col min="10209" max="10209" width="23.85546875" style="687" customWidth="1"/>
    <col min="10210" max="10210" width="18.28515625" style="687" customWidth="1"/>
    <col min="10211" max="10211" width="17.140625" style="687" customWidth="1"/>
    <col min="10212" max="10214" width="15.5703125" style="687" customWidth="1"/>
    <col min="10215" max="10225" width="0" style="687" hidden="1" customWidth="1"/>
    <col min="10226" max="10456" width="9.140625" style="687"/>
    <col min="10457" max="10458" width="14.28515625" style="687" customWidth="1"/>
    <col min="10459" max="10464" width="18.28515625" style="687" customWidth="1"/>
    <col min="10465" max="10465" width="23.85546875" style="687" customWidth="1"/>
    <col min="10466" max="10466" width="18.28515625" style="687" customWidth="1"/>
    <col min="10467" max="10467" width="17.140625" style="687" customWidth="1"/>
    <col min="10468" max="10470" width="15.5703125" style="687" customWidth="1"/>
    <col min="10471" max="10481" width="0" style="687" hidden="1" customWidth="1"/>
    <col min="10482" max="10712" width="9.140625" style="687"/>
    <col min="10713" max="10714" width="14.28515625" style="687" customWidth="1"/>
    <col min="10715" max="10720" width="18.28515625" style="687" customWidth="1"/>
    <col min="10721" max="10721" width="23.85546875" style="687" customWidth="1"/>
    <col min="10722" max="10722" width="18.28515625" style="687" customWidth="1"/>
    <col min="10723" max="10723" width="17.140625" style="687" customWidth="1"/>
    <col min="10724" max="10726" width="15.5703125" style="687" customWidth="1"/>
    <col min="10727" max="10737" width="0" style="687" hidden="1" customWidth="1"/>
    <col min="10738" max="10968" width="9.140625" style="687"/>
    <col min="10969" max="10970" width="14.28515625" style="687" customWidth="1"/>
    <col min="10971" max="10976" width="18.28515625" style="687" customWidth="1"/>
    <col min="10977" max="10977" width="23.85546875" style="687" customWidth="1"/>
    <col min="10978" max="10978" width="18.28515625" style="687" customWidth="1"/>
    <col min="10979" max="10979" width="17.140625" style="687" customWidth="1"/>
    <col min="10980" max="10982" width="15.5703125" style="687" customWidth="1"/>
    <col min="10983" max="10993" width="0" style="687" hidden="1" customWidth="1"/>
    <col min="10994" max="11224" width="9.140625" style="687"/>
    <col min="11225" max="11226" width="14.28515625" style="687" customWidth="1"/>
    <col min="11227" max="11232" width="18.28515625" style="687" customWidth="1"/>
    <col min="11233" max="11233" width="23.85546875" style="687" customWidth="1"/>
    <col min="11234" max="11234" width="18.28515625" style="687" customWidth="1"/>
    <col min="11235" max="11235" width="17.140625" style="687" customWidth="1"/>
    <col min="11236" max="11238" width="15.5703125" style="687" customWidth="1"/>
    <col min="11239" max="11249" width="0" style="687" hidden="1" customWidth="1"/>
    <col min="11250" max="11480" width="9.140625" style="687"/>
    <col min="11481" max="11482" width="14.28515625" style="687" customWidth="1"/>
    <col min="11483" max="11488" width="18.28515625" style="687" customWidth="1"/>
    <col min="11489" max="11489" width="23.85546875" style="687" customWidth="1"/>
    <col min="11490" max="11490" width="18.28515625" style="687" customWidth="1"/>
    <col min="11491" max="11491" width="17.140625" style="687" customWidth="1"/>
    <col min="11492" max="11494" width="15.5703125" style="687" customWidth="1"/>
    <col min="11495" max="11505" width="0" style="687" hidden="1" customWidth="1"/>
    <col min="11506" max="11736" width="9.140625" style="687"/>
    <col min="11737" max="11738" width="14.28515625" style="687" customWidth="1"/>
    <col min="11739" max="11744" width="18.28515625" style="687" customWidth="1"/>
    <col min="11745" max="11745" width="23.85546875" style="687" customWidth="1"/>
    <col min="11746" max="11746" width="18.28515625" style="687" customWidth="1"/>
    <col min="11747" max="11747" width="17.140625" style="687" customWidth="1"/>
    <col min="11748" max="11750" width="15.5703125" style="687" customWidth="1"/>
    <col min="11751" max="11761" width="0" style="687" hidden="1" customWidth="1"/>
    <col min="11762" max="11992" width="9.140625" style="687"/>
    <col min="11993" max="11994" width="14.28515625" style="687" customWidth="1"/>
    <col min="11995" max="12000" width="18.28515625" style="687" customWidth="1"/>
    <col min="12001" max="12001" width="23.85546875" style="687" customWidth="1"/>
    <col min="12002" max="12002" width="18.28515625" style="687" customWidth="1"/>
    <col min="12003" max="12003" width="17.140625" style="687" customWidth="1"/>
    <col min="12004" max="12006" width="15.5703125" style="687" customWidth="1"/>
    <col min="12007" max="12017" width="0" style="687" hidden="1" customWidth="1"/>
    <col min="12018" max="12248" width="9.140625" style="687"/>
    <col min="12249" max="12250" width="14.28515625" style="687" customWidth="1"/>
    <col min="12251" max="12256" width="18.28515625" style="687" customWidth="1"/>
    <col min="12257" max="12257" width="23.85546875" style="687" customWidth="1"/>
    <col min="12258" max="12258" width="18.28515625" style="687" customWidth="1"/>
    <col min="12259" max="12259" width="17.140625" style="687" customWidth="1"/>
    <col min="12260" max="12262" width="15.5703125" style="687" customWidth="1"/>
    <col min="12263" max="12273" width="0" style="687" hidden="1" customWidth="1"/>
    <col min="12274" max="12504" width="9.140625" style="687"/>
    <col min="12505" max="12506" width="14.28515625" style="687" customWidth="1"/>
    <col min="12507" max="12512" width="18.28515625" style="687" customWidth="1"/>
    <col min="12513" max="12513" width="23.85546875" style="687" customWidth="1"/>
    <col min="12514" max="12514" width="18.28515625" style="687" customWidth="1"/>
    <col min="12515" max="12515" width="17.140625" style="687" customWidth="1"/>
    <col min="12516" max="12518" width="15.5703125" style="687" customWidth="1"/>
    <col min="12519" max="12529" width="0" style="687" hidden="1" customWidth="1"/>
    <col min="12530" max="12760" width="9.140625" style="687"/>
    <col min="12761" max="12762" width="14.28515625" style="687" customWidth="1"/>
    <col min="12763" max="12768" width="18.28515625" style="687" customWidth="1"/>
    <col min="12769" max="12769" width="23.85546875" style="687" customWidth="1"/>
    <col min="12770" max="12770" width="18.28515625" style="687" customWidth="1"/>
    <col min="12771" max="12771" width="17.140625" style="687" customWidth="1"/>
    <col min="12772" max="12774" width="15.5703125" style="687" customWidth="1"/>
    <col min="12775" max="12785" width="0" style="687" hidden="1" customWidth="1"/>
    <col min="12786" max="13016" width="9.140625" style="687"/>
    <col min="13017" max="13018" width="14.28515625" style="687" customWidth="1"/>
    <col min="13019" max="13024" width="18.28515625" style="687" customWidth="1"/>
    <col min="13025" max="13025" width="23.85546875" style="687" customWidth="1"/>
    <col min="13026" max="13026" width="18.28515625" style="687" customWidth="1"/>
    <col min="13027" max="13027" width="17.140625" style="687" customWidth="1"/>
    <col min="13028" max="13030" width="15.5703125" style="687" customWidth="1"/>
    <col min="13031" max="13041" width="0" style="687" hidden="1" customWidth="1"/>
    <col min="13042" max="13272" width="9.140625" style="687"/>
    <col min="13273" max="13274" width="14.28515625" style="687" customWidth="1"/>
    <col min="13275" max="13280" width="18.28515625" style="687" customWidth="1"/>
    <col min="13281" max="13281" width="23.85546875" style="687" customWidth="1"/>
    <col min="13282" max="13282" width="18.28515625" style="687" customWidth="1"/>
    <col min="13283" max="13283" width="17.140625" style="687" customWidth="1"/>
    <col min="13284" max="13286" width="15.5703125" style="687" customWidth="1"/>
    <col min="13287" max="13297" width="0" style="687" hidden="1" customWidth="1"/>
    <col min="13298" max="13528" width="9.140625" style="687"/>
    <col min="13529" max="13530" width="14.28515625" style="687" customWidth="1"/>
    <col min="13531" max="13536" width="18.28515625" style="687" customWidth="1"/>
    <col min="13537" max="13537" width="23.85546875" style="687" customWidth="1"/>
    <col min="13538" max="13538" width="18.28515625" style="687" customWidth="1"/>
    <col min="13539" max="13539" width="17.140625" style="687" customWidth="1"/>
    <col min="13540" max="13542" width="15.5703125" style="687" customWidth="1"/>
    <col min="13543" max="13553" width="0" style="687" hidden="1" customWidth="1"/>
    <col min="13554" max="13784" width="9.140625" style="687"/>
    <col min="13785" max="13786" width="14.28515625" style="687" customWidth="1"/>
    <col min="13787" max="13792" width="18.28515625" style="687" customWidth="1"/>
    <col min="13793" max="13793" width="23.85546875" style="687" customWidth="1"/>
    <col min="13794" max="13794" width="18.28515625" style="687" customWidth="1"/>
    <col min="13795" max="13795" width="17.140625" style="687" customWidth="1"/>
    <col min="13796" max="13798" width="15.5703125" style="687" customWidth="1"/>
    <col min="13799" max="13809" width="0" style="687" hidden="1" customWidth="1"/>
    <col min="13810" max="14040" width="9.140625" style="687"/>
    <col min="14041" max="14042" width="14.28515625" style="687" customWidth="1"/>
    <col min="14043" max="14048" width="18.28515625" style="687" customWidth="1"/>
    <col min="14049" max="14049" width="23.85546875" style="687" customWidth="1"/>
    <col min="14050" max="14050" width="18.28515625" style="687" customWidth="1"/>
    <col min="14051" max="14051" width="17.140625" style="687" customWidth="1"/>
    <col min="14052" max="14054" width="15.5703125" style="687" customWidth="1"/>
    <col min="14055" max="14065" width="0" style="687" hidden="1" customWidth="1"/>
    <col min="14066" max="14296" width="9.140625" style="687"/>
    <col min="14297" max="14298" width="14.28515625" style="687" customWidth="1"/>
    <col min="14299" max="14304" width="18.28515625" style="687" customWidth="1"/>
    <col min="14305" max="14305" width="23.85546875" style="687" customWidth="1"/>
    <col min="14306" max="14306" width="18.28515625" style="687" customWidth="1"/>
    <col min="14307" max="14307" width="17.140625" style="687" customWidth="1"/>
    <col min="14308" max="14310" width="15.5703125" style="687" customWidth="1"/>
    <col min="14311" max="14321" width="0" style="687" hidden="1" customWidth="1"/>
    <col min="14322" max="14552" width="9.140625" style="687"/>
    <col min="14553" max="14554" width="14.28515625" style="687" customWidth="1"/>
    <col min="14555" max="14560" width="18.28515625" style="687" customWidth="1"/>
    <col min="14561" max="14561" width="23.85546875" style="687" customWidth="1"/>
    <col min="14562" max="14562" width="18.28515625" style="687" customWidth="1"/>
    <col min="14563" max="14563" width="17.140625" style="687" customWidth="1"/>
    <col min="14564" max="14566" width="15.5703125" style="687" customWidth="1"/>
    <col min="14567" max="14577" width="0" style="687" hidden="1" customWidth="1"/>
    <col min="14578" max="14808" width="9.140625" style="687"/>
    <col min="14809" max="14810" width="14.28515625" style="687" customWidth="1"/>
    <col min="14811" max="14816" width="18.28515625" style="687" customWidth="1"/>
    <col min="14817" max="14817" width="23.85546875" style="687" customWidth="1"/>
    <col min="14818" max="14818" width="18.28515625" style="687" customWidth="1"/>
    <col min="14819" max="14819" width="17.140625" style="687" customWidth="1"/>
    <col min="14820" max="14822" width="15.5703125" style="687" customWidth="1"/>
    <col min="14823" max="14833" width="0" style="687" hidden="1" customWidth="1"/>
    <col min="14834" max="15064" width="9.140625" style="687"/>
    <col min="15065" max="15066" width="14.28515625" style="687" customWidth="1"/>
    <col min="15067" max="15072" width="18.28515625" style="687" customWidth="1"/>
    <col min="15073" max="15073" width="23.85546875" style="687" customWidth="1"/>
    <col min="15074" max="15074" width="18.28515625" style="687" customWidth="1"/>
    <col min="15075" max="15075" width="17.140625" style="687" customWidth="1"/>
    <col min="15076" max="15078" width="15.5703125" style="687" customWidth="1"/>
    <col min="15079" max="15089" width="0" style="687" hidden="1" customWidth="1"/>
    <col min="15090" max="15320" width="9.140625" style="687"/>
    <col min="15321" max="15322" width="14.28515625" style="687" customWidth="1"/>
    <col min="15323" max="15328" width="18.28515625" style="687" customWidth="1"/>
    <col min="15329" max="15329" width="23.85546875" style="687" customWidth="1"/>
    <col min="15330" max="15330" width="18.28515625" style="687" customWidth="1"/>
    <col min="15331" max="15331" width="17.140625" style="687" customWidth="1"/>
    <col min="15332" max="15334" width="15.5703125" style="687" customWidth="1"/>
    <col min="15335" max="15345" width="0" style="687" hidden="1" customWidth="1"/>
    <col min="15346" max="15576" width="9.140625" style="687"/>
    <col min="15577" max="15578" width="14.28515625" style="687" customWidth="1"/>
    <col min="15579" max="15584" width="18.28515625" style="687" customWidth="1"/>
    <col min="15585" max="15585" width="23.85546875" style="687" customWidth="1"/>
    <col min="15586" max="15586" width="18.28515625" style="687" customWidth="1"/>
    <col min="15587" max="15587" width="17.140625" style="687" customWidth="1"/>
    <col min="15588" max="15590" width="15.5703125" style="687" customWidth="1"/>
    <col min="15591" max="15601" width="0" style="687" hidden="1" customWidth="1"/>
    <col min="15602" max="15832" width="9.140625" style="687"/>
    <col min="15833" max="15834" width="14.28515625" style="687" customWidth="1"/>
    <col min="15835" max="15840" width="18.28515625" style="687" customWidth="1"/>
    <col min="15841" max="15841" width="23.85546875" style="687" customWidth="1"/>
    <col min="15842" max="15842" width="18.28515625" style="687" customWidth="1"/>
    <col min="15843" max="15843" width="17.140625" style="687" customWidth="1"/>
    <col min="15844" max="15846" width="15.5703125" style="687" customWidth="1"/>
    <col min="15847" max="15857" width="0" style="687" hidden="1" customWidth="1"/>
    <col min="15858" max="16088" width="9.140625" style="687"/>
    <col min="16089" max="16090" width="14.28515625" style="687" customWidth="1"/>
    <col min="16091" max="16096" width="18.28515625" style="687" customWidth="1"/>
    <col min="16097" max="16097" width="23.85546875" style="687" customWidth="1"/>
    <col min="16098" max="16098" width="18.28515625" style="687" customWidth="1"/>
    <col min="16099" max="16099" width="17.140625" style="687" customWidth="1"/>
    <col min="16100" max="16102" width="15.5703125" style="687" customWidth="1"/>
    <col min="16103" max="16113" width="0" style="687" hidden="1" customWidth="1"/>
    <col min="16114" max="16384" width="9.140625" style="687"/>
  </cols>
  <sheetData>
    <row r="3" spans="2:15" x14ac:dyDescent="0.2">
      <c r="B3" s="1064" t="s">
        <v>587</v>
      </c>
      <c r="C3" s="1064"/>
      <c r="D3" s="1064"/>
      <c r="E3" s="1064"/>
      <c r="F3" s="1064"/>
      <c r="G3" s="1064"/>
      <c r="H3" s="1064"/>
      <c r="I3" s="1064"/>
      <c r="J3" s="1064"/>
      <c r="K3" s="1064"/>
      <c r="L3" s="1064"/>
      <c r="M3" s="1064"/>
      <c r="N3" s="1064"/>
      <c r="O3" s="1064"/>
    </row>
    <row r="4" spans="2:15" x14ac:dyDescent="0.2">
      <c r="B4" s="1064" t="s">
        <v>622</v>
      </c>
      <c r="C4" s="1064"/>
      <c r="D4" s="1064"/>
      <c r="E4" s="1064"/>
      <c r="F4" s="1064"/>
      <c r="G4" s="1064"/>
      <c r="H4" s="1064"/>
      <c r="I4" s="1064"/>
      <c r="J4" s="1064"/>
      <c r="K4" s="1064"/>
      <c r="L4" s="1064"/>
      <c r="M4" s="1064"/>
      <c r="N4" s="1064"/>
      <c r="O4" s="1064"/>
    </row>
    <row r="5" spans="2:15" x14ac:dyDescent="0.2">
      <c r="B5" s="1064" t="s">
        <v>779</v>
      </c>
      <c r="C5" s="1064"/>
      <c r="D5" s="1064"/>
      <c r="E5" s="1064"/>
      <c r="F5" s="1064"/>
      <c r="G5" s="1064"/>
      <c r="H5" s="1064"/>
      <c r="I5" s="1064"/>
      <c r="J5" s="1064"/>
      <c r="K5" s="1064"/>
      <c r="L5" s="1064"/>
      <c r="M5" s="1064"/>
      <c r="N5" s="1064"/>
      <c r="O5" s="1064"/>
    </row>
    <row r="6" spans="2:15" ht="15.75" x14ac:dyDescent="0.25">
      <c r="B6" s="688"/>
      <c r="C6" s="688"/>
      <c r="D6" s="688"/>
      <c r="E6" s="688"/>
      <c r="F6" s="688"/>
      <c r="G6" s="688"/>
      <c r="H6" s="688"/>
      <c r="I6" s="688"/>
      <c r="J6" s="688"/>
      <c r="K6" s="688"/>
      <c r="L6" s="688"/>
      <c r="M6" s="688"/>
      <c r="N6" s="688"/>
      <c r="O6" s="688"/>
    </row>
    <row r="7" spans="2:15" ht="15.75" x14ac:dyDescent="0.25">
      <c r="B7" s="1065" t="s">
        <v>597</v>
      </c>
      <c r="C7" s="1065"/>
      <c r="D7" s="1065"/>
      <c r="E7" s="1065"/>
      <c r="F7" s="1065"/>
      <c r="G7" s="1065"/>
      <c r="H7" s="1065"/>
      <c r="I7" s="1065"/>
      <c r="J7" s="1065"/>
      <c r="K7" s="1065"/>
      <c r="L7" s="1065"/>
      <c r="M7" s="1065"/>
      <c r="N7" s="1065"/>
      <c r="O7" s="1065"/>
    </row>
    <row r="8" spans="2:15" ht="15.75" x14ac:dyDescent="0.25">
      <c r="B8" s="689"/>
      <c r="C8" s="689"/>
      <c r="D8" s="690"/>
      <c r="E8" s="690"/>
      <c r="F8" s="690"/>
      <c r="G8" s="690"/>
      <c r="H8" s="765"/>
      <c r="I8" s="765"/>
      <c r="J8"/>
      <c r="K8"/>
      <c r="L8"/>
      <c r="M8"/>
      <c r="N8"/>
      <c r="O8"/>
    </row>
    <row r="9" spans="2:15" ht="15.75" x14ac:dyDescent="0.25">
      <c r="B9" s="689"/>
      <c r="C9" s="689"/>
      <c r="D9" s="690"/>
      <c r="E9" s="690"/>
      <c r="F9" s="690"/>
      <c r="G9" s="690"/>
      <c r="H9" s="766"/>
      <c r="I9" s="766"/>
      <c r="J9"/>
      <c r="K9"/>
      <c r="L9"/>
      <c r="M9"/>
      <c r="N9"/>
      <c r="O9"/>
    </row>
    <row r="10" spans="2:15" ht="15.75" x14ac:dyDescent="0.25">
      <c r="B10" s="691">
        <f>IF(D10&lt;&gt;"",COUNTA($D10:D$10),"")</f>
        <v>1</v>
      </c>
      <c r="C10" s="691"/>
      <c r="D10" s="689" t="s">
        <v>12</v>
      </c>
      <c r="E10" s="689"/>
      <c r="F10" s="1066" t="s">
        <v>662</v>
      </c>
      <c r="G10" s="1067"/>
      <c r="H10" s="1066"/>
      <c r="I10" s="766"/>
      <c r="J10" s="1067" t="s">
        <v>663</v>
      </c>
      <c r="K10" s="1068"/>
      <c r="L10" s="1068"/>
      <c r="M10"/>
      <c r="N10" s="1068" t="s">
        <v>623</v>
      </c>
      <c r="O10" s="1068"/>
    </row>
    <row r="11" spans="2:15" ht="15.75" x14ac:dyDescent="0.25">
      <c r="B11" s="691">
        <f>IF(D11&lt;&gt;"",COUNTA($D$10:D11),"")</f>
        <v>2</v>
      </c>
      <c r="C11" s="691"/>
      <c r="D11" s="692" t="s">
        <v>158</v>
      </c>
      <c r="E11" s="692"/>
      <c r="F11" s="767" t="s">
        <v>624</v>
      </c>
      <c r="G11" s="692" t="s">
        <v>625</v>
      </c>
      <c r="H11" s="767" t="s">
        <v>176</v>
      </c>
      <c r="I11" s="766"/>
      <c r="J11" s="692" t="s">
        <v>624</v>
      </c>
      <c r="K11" s="692" t="s">
        <v>625</v>
      </c>
      <c r="L11" s="692" t="s">
        <v>176</v>
      </c>
      <c r="M11"/>
      <c r="N11" s="692" t="s">
        <v>626</v>
      </c>
      <c r="O11" s="692" t="s">
        <v>120</v>
      </c>
    </row>
    <row r="12" spans="2:15" x14ac:dyDescent="0.2">
      <c r="B12" s="691">
        <f>IF(D12&lt;&gt;"",COUNTA($D$10:D12),"")</f>
        <v>3</v>
      </c>
      <c r="C12" s="691"/>
      <c r="D12" s="693">
        <v>100</v>
      </c>
      <c r="E12" s="693"/>
      <c r="F12" s="694">
        <f t="shared" ref="F12:F25" si="0">ROUND(SUM($G$31:$G$53)*D12,2)+G$30</f>
        <v>27.42</v>
      </c>
      <c r="G12" s="694">
        <f t="shared" ref="G12:G25" si="1">ROUND($G$54*D12,2)</f>
        <v>15.52</v>
      </c>
      <c r="H12" s="694">
        <f t="shared" ref="H12:H25" si="2">SUM(F12:G12)</f>
        <v>42.94</v>
      </c>
      <c r="I12" s="694"/>
      <c r="J12" s="694">
        <f t="shared" ref="J12:J25" si="3">ROUND(SUM($H$31:$H$53)*D12,2)+H$30</f>
        <v>27.72</v>
      </c>
      <c r="K12" s="694">
        <f t="shared" ref="K12:K25" si="4">ROUND($H$54*D12,2)</f>
        <v>15.52</v>
      </c>
      <c r="L12" s="694">
        <f t="shared" ref="L12:L25" si="5">SUM(J12:K12)</f>
        <v>43.239999999999995</v>
      </c>
      <c r="M12" s="694"/>
      <c r="N12" s="694">
        <f t="shared" ref="N12:N25" si="6">+L12-H12</f>
        <v>0.29999999999999716</v>
      </c>
      <c r="O12" s="695">
        <f t="shared" ref="O12:O25" si="7">+N12/H12</f>
        <v>6.9864927806240606E-3</v>
      </c>
    </row>
    <row r="13" spans="2:15" x14ac:dyDescent="0.2">
      <c r="B13" s="691">
        <f>IF(D13&lt;&gt;"",COUNTA($D$10:D13),"")</f>
        <v>4</v>
      </c>
      <c r="C13" s="691"/>
      <c r="D13" s="693">
        <v>200</v>
      </c>
      <c r="E13" s="693"/>
      <c r="F13" s="694">
        <f t="shared" si="0"/>
        <v>44.84</v>
      </c>
      <c r="G13" s="694">
        <f t="shared" si="1"/>
        <v>31.04</v>
      </c>
      <c r="H13" s="694">
        <f t="shared" si="2"/>
        <v>75.88</v>
      </c>
      <c r="I13" s="694"/>
      <c r="J13" s="694">
        <f t="shared" si="3"/>
        <v>45.44</v>
      </c>
      <c r="K13" s="694">
        <f t="shared" si="4"/>
        <v>31.04</v>
      </c>
      <c r="L13" s="694">
        <f t="shared" si="5"/>
        <v>76.47999999999999</v>
      </c>
      <c r="M13" s="694"/>
      <c r="N13" s="694">
        <f t="shared" si="6"/>
        <v>0.59999999999999432</v>
      </c>
      <c r="O13" s="695">
        <f t="shared" si="7"/>
        <v>7.9072219293620759E-3</v>
      </c>
    </row>
    <row r="14" spans="2:15" x14ac:dyDescent="0.2">
      <c r="B14" s="691">
        <f>IF(D14&lt;&gt;"",COUNTA($D$10:D14),"")</f>
        <v>5</v>
      </c>
      <c r="C14" s="691"/>
      <c r="D14" s="693">
        <v>300</v>
      </c>
      <c r="E14" s="693"/>
      <c r="F14" s="694">
        <f t="shared" si="0"/>
        <v>62.26</v>
      </c>
      <c r="G14" s="694">
        <f t="shared" si="1"/>
        <v>46.57</v>
      </c>
      <c r="H14" s="694">
        <f t="shared" si="2"/>
        <v>108.83</v>
      </c>
      <c r="I14" s="694"/>
      <c r="J14" s="694">
        <f t="shared" si="3"/>
        <v>63.16</v>
      </c>
      <c r="K14" s="694">
        <f t="shared" si="4"/>
        <v>46.57</v>
      </c>
      <c r="L14" s="694">
        <f t="shared" si="5"/>
        <v>109.72999999999999</v>
      </c>
      <c r="M14" s="694"/>
      <c r="N14" s="694">
        <f t="shared" si="6"/>
        <v>0.89999999999999147</v>
      </c>
      <c r="O14" s="695">
        <f t="shared" si="7"/>
        <v>8.2697785537075384E-3</v>
      </c>
    </row>
    <row r="15" spans="2:15" x14ac:dyDescent="0.2">
      <c r="B15" s="691">
        <f>IF(D15&lt;&gt;"",COUNTA($D$10:D15),"")</f>
        <v>6</v>
      </c>
      <c r="C15" s="691"/>
      <c r="D15" s="693">
        <v>400</v>
      </c>
      <c r="E15" s="693"/>
      <c r="F15" s="694">
        <f t="shared" si="0"/>
        <v>79.680000000000007</v>
      </c>
      <c r="G15" s="694">
        <f t="shared" si="1"/>
        <v>62.09</v>
      </c>
      <c r="H15" s="694">
        <f t="shared" si="2"/>
        <v>141.77000000000001</v>
      </c>
      <c r="I15" s="694"/>
      <c r="J15" s="694">
        <f t="shared" si="3"/>
        <v>80.88</v>
      </c>
      <c r="K15" s="694">
        <f t="shared" si="4"/>
        <v>62.09</v>
      </c>
      <c r="L15" s="694">
        <f t="shared" si="5"/>
        <v>142.97</v>
      </c>
      <c r="M15" s="694"/>
      <c r="N15" s="694">
        <f t="shared" si="6"/>
        <v>1.1999999999999886</v>
      </c>
      <c r="O15" s="695">
        <f t="shared" si="7"/>
        <v>8.464414192001047E-3</v>
      </c>
    </row>
    <row r="16" spans="2:15" x14ac:dyDescent="0.2">
      <c r="B16" s="691">
        <f>IF(D16&lt;&gt;"",COUNTA($D$10:D16),"")</f>
        <v>7</v>
      </c>
      <c r="C16" s="691"/>
      <c r="D16" s="693">
        <v>500</v>
      </c>
      <c r="E16" s="693"/>
      <c r="F16" s="694">
        <f t="shared" si="0"/>
        <v>97.1</v>
      </c>
      <c r="G16" s="694">
        <f t="shared" si="1"/>
        <v>77.61</v>
      </c>
      <c r="H16" s="694">
        <f t="shared" si="2"/>
        <v>174.70999999999998</v>
      </c>
      <c r="I16" s="694"/>
      <c r="J16" s="694">
        <f>ROUND(SUM($H$31:$H$53)*D16,2)+H$30</f>
        <v>98.61</v>
      </c>
      <c r="K16" s="694">
        <f>ROUND($H$54*D16,2)</f>
        <v>77.61</v>
      </c>
      <c r="L16" s="694">
        <f t="shared" si="5"/>
        <v>176.22</v>
      </c>
      <c r="M16" s="694"/>
      <c r="N16" s="694">
        <f t="shared" si="6"/>
        <v>1.5100000000000193</v>
      </c>
      <c r="O16" s="695">
        <f t="shared" si="7"/>
        <v>8.6428939385268123E-3</v>
      </c>
    </row>
    <row r="17" spans="2:15" x14ac:dyDescent="0.2">
      <c r="B17" s="691">
        <f>IF(D17&lt;&gt;"",COUNTA($D$10:D17),"")</f>
        <v>8</v>
      </c>
      <c r="C17" s="691"/>
      <c r="D17" s="693">
        <v>600</v>
      </c>
      <c r="E17" s="693"/>
      <c r="F17" s="694">
        <f t="shared" si="0"/>
        <v>114.52</v>
      </c>
      <c r="G17" s="694">
        <f t="shared" si="1"/>
        <v>93.13</v>
      </c>
      <c r="H17" s="694">
        <f t="shared" si="2"/>
        <v>207.64999999999998</v>
      </c>
      <c r="I17" s="694"/>
      <c r="J17" s="694">
        <f t="shared" si="3"/>
        <v>116.33</v>
      </c>
      <c r="K17" s="694">
        <f t="shared" si="4"/>
        <v>93.13</v>
      </c>
      <c r="L17" s="694">
        <f t="shared" si="5"/>
        <v>209.45999999999998</v>
      </c>
      <c r="M17" s="694"/>
      <c r="N17" s="694">
        <f t="shared" si="6"/>
        <v>1.8100000000000023</v>
      </c>
      <c r="O17" s="695">
        <f t="shared" si="7"/>
        <v>8.7165904165663489E-3</v>
      </c>
    </row>
    <row r="18" spans="2:15" x14ac:dyDescent="0.2">
      <c r="B18" s="691">
        <f>IF(D18&lt;&gt;"",COUNTA($D$10:D18),"")</f>
        <v>9</v>
      </c>
      <c r="C18" s="691"/>
      <c r="D18" s="693">
        <v>700</v>
      </c>
      <c r="E18" s="693"/>
      <c r="F18" s="694">
        <f t="shared" si="0"/>
        <v>131.94</v>
      </c>
      <c r="G18" s="694">
        <f t="shared" si="1"/>
        <v>108.65</v>
      </c>
      <c r="H18" s="694">
        <f t="shared" si="2"/>
        <v>240.59</v>
      </c>
      <c r="I18" s="694"/>
      <c r="J18" s="694">
        <f t="shared" si="3"/>
        <v>134.05000000000001</v>
      </c>
      <c r="K18" s="694">
        <f>ROUND($H$54*D18,2)</f>
        <v>108.65</v>
      </c>
      <c r="L18" s="694">
        <f t="shared" si="5"/>
        <v>242.70000000000002</v>
      </c>
      <c r="M18" s="694"/>
      <c r="N18" s="694">
        <f t="shared" si="6"/>
        <v>2.1100000000000136</v>
      </c>
      <c r="O18" s="695">
        <f t="shared" si="7"/>
        <v>8.7701068207324227E-3</v>
      </c>
    </row>
    <row r="19" spans="2:15" x14ac:dyDescent="0.2">
      <c r="B19" s="691">
        <f>IF(D19&lt;&gt;"",COUNTA($D$10:D19),"")</f>
        <v>10</v>
      </c>
      <c r="C19" s="691"/>
      <c r="D19" s="693">
        <v>800</v>
      </c>
      <c r="E19" s="693"/>
      <c r="F19" s="694">
        <f t="shared" si="0"/>
        <v>149.36000000000001</v>
      </c>
      <c r="G19" s="694">
        <f t="shared" si="1"/>
        <v>124.18</v>
      </c>
      <c r="H19" s="694">
        <f t="shared" si="2"/>
        <v>273.54000000000002</v>
      </c>
      <c r="I19" s="694"/>
      <c r="J19" s="694">
        <f t="shared" si="3"/>
        <v>151.77000000000001</v>
      </c>
      <c r="K19" s="694">
        <f t="shared" si="4"/>
        <v>124.18</v>
      </c>
      <c r="L19" s="694">
        <f t="shared" si="5"/>
        <v>275.95000000000005</v>
      </c>
      <c r="M19" s="694"/>
      <c r="N19" s="694">
        <f t="shared" si="6"/>
        <v>2.410000000000025</v>
      </c>
      <c r="O19" s="695">
        <f t="shared" si="7"/>
        <v>8.8104116399796185E-3</v>
      </c>
    </row>
    <row r="20" spans="2:15" x14ac:dyDescent="0.2">
      <c r="B20" s="691">
        <f>IF(D20&lt;&gt;"",COUNTA($D$10:D20),"")</f>
        <v>11</v>
      </c>
      <c r="C20" s="691"/>
      <c r="D20" s="693">
        <v>900</v>
      </c>
      <c r="E20" s="693"/>
      <c r="F20" s="694">
        <f t="shared" si="0"/>
        <v>166.78</v>
      </c>
      <c r="G20" s="694">
        <f t="shared" si="1"/>
        <v>139.69999999999999</v>
      </c>
      <c r="H20" s="694">
        <f t="shared" si="2"/>
        <v>306.48</v>
      </c>
      <c r="I20" s="694"/>
      <c r="J20" s="694">
        <f t="shared" si="3"/>
        <v>169.49</v>
      </c>
      <c r="K20" s="694">
        <f t="shared" si="4"/>
        <v>139.69999999999999</v>
      </c>
      <c r="L20" s="694">
        <f t="shared" si="5"/>
        <v>309.19</v>
      </c>
      <c r="M20" s="694"/>
      <c r="N20" s="694">
        <f t="shared" si="6"/>
        <v>2.7099999999999795</v>
      </c>
      <c r="O20" s="695">
        <f t="shared" si="7"/>
        <v>8.84233881493076E-3</v>
      </c>
    </row>
    <row r="21" spans="2:15" x14ac:dyDescent="0.2">
      <c r="B21" s="691">
        <f>IF(D21&lt;&gt;"",COUNTA($D$10:D21),"")</f>
        <v>12</v>
      </c>
      <c r="C21" s="691"/>
      <c r="D21" s="693">
        <v>1000</v>
      </c>
      <c r="E21" s="693"/>
      <c r="F21" s="694">
        <f t="shared" si="0"/>
        <v>184.2</v>
      </c>
      <c r="G21" s="694">
        <f t="shared" si="1"/>
        <v>155.22</v>
      </c>
      <c r="H21" s="694">
        <f t="shared" si="2"/>
        <v>339.41999999999996</v>
      </c>
      <c r="I21" s="694"/>
      <c r="J21" s="694">
        <f t="shared" si="3"/>
        <v>187.21</v>
      </c>
      <c r="K21" s="694">
        <f t="shared" si="4"/>
        <v>155.22</v>
      </c>
      <c r="L21" s="694">
        <f t="shared" si="5"/>
        <v>342.43</v>
      </c>
      <c r="M21" s="694"/>
      <c r="N21" s="694">
        <f t="shared" si="6"/>
        <v>3.0100000000000477</v>
      </c>
      <c r="O21" s="695">
        <f t="shared" si="7"/>
        <v>8.8680690589831128E-3</v>
      </c>
    </row>
    <row r="22" spans="2:15" x14ac:dyDescent="0.2">
      <c r="B22" s="691">
        <f>IF(D22&lt;&gt;"",COUNTA($D$10:D22),"")</f>
        <v>13</v>
      </c>
      <c r="C22" s="691"/>
      <c r="D22" s="693">
        <v>1250</v>
      </c>
      <c r="E22" s="693"/>
      <c r="F22" s="694">
        <f t="shared" si="0"/>
        <v>227.75</v>
      </c>
      <c r="G22" s="694">
        <f t="shared" si="1"/>
        <v>194.03</v>
      </c>
      <c r="H22" s="694">
        <f t="shared" si="2"/>
        <v>421.78</v>
      </c>
      <c r="I22" s="694"/>
      <c r="J22" s="694">
        <f t="shared" si="3"/>
        <v>231.51</v>
      </c>
      <c r="K22" s="694">
        <f t="shared" si="4"/>
        <v>194.03</v>
      </c>
      <c r="L22" s="694">
        <f t="shared" si="5"/>
        <v>425.53999999999996</v>
      </c>
      <c r="M22" s="694"/>
      <c r="N22" s="694">
        <f t="shared" si="6"/>
        <v>3.7599999999999909</v>
      </c>
      <c r="O22" s="695">
        <f t="shared" si="7"/>
        <v>8.9146000284508302E-3</v>
      </c>
    </row>
    <row r="23" spans="2:15" x14ac:dyDescent="0.2">
      <c r="B23" s="691">
        <f>IF(D23&lt;&gt;"",COUNTA($D$10:D23),"")</f>
        <v>14</v>
      </c>
      <c r="C23" s="691"/>
      <c r="D23" s="693">
        <v>1500</v>
      </c>
      <c r="E23" s="693"/>
      <c r="F23" s="694">
        <f t="shared" si="0"/>
        <v>271.3</v>
      </c>
      <c r="G23" s="694">
        <f t="shared" si="1"/>
        <v>232.83</v>
      </c>
      <c r="H23" s="694">
        <f t="shared" si="2"/>
        <v>504.13</v>
      </c>
      <c r="I23" s="694"/>
      <c r="J23" s="694">
        <f t="shared" si="3"/>
        <v>275.82</v>
      </c>
      <c r="K23" s="694">
        <f t="shared" si="4"/>
        <v>232.83</v>
      </c>
      <c r="L23" s="694">
        <f t="shared" si="5"/>
        <v>508.65</v>
      </c>
      <c r="M23" s="694"/>
      <c r="N23" s="694">
        <f t="shared" si="6"/>
        <v>4.5199999999999818</v>
      </c>
      <c r="O23" s="695">
        <f t="shared" si="7"/>
        <v>8.9659413246582862E-3</v>
      </c>
    </row>
    <row r="24" spans="2:15" x14ac:dyDescent="0.2">
      <c r="B24" s="691">
        <f>IF(D24&lt;&gt;"",COUNTA($D$10:D24),"")</f>
        <v>15</v>
      </c>
      <c r="C24" s="691"/>
      <c r="D24" s="693">
        <v>2000</v>
      </c>
      <c r="E24" s="693"/>
      <c r="F24" s="694">
        <f t="shared" si="0"/>
        <v>358.4</v>
      </c>
      <c r="G24" s="694">
        <f>ROUND($G$54*D24,2)</f>
        <v>310.44</v>
      </c>
      <c r="H24" s="694">
        <f t="shared" si="2"/>
        <v>668.83999999999992</v>
      </c>
      <c r="I24" s="694"/>
      <c r="J24" s="694">
        <f t="shared" si="3"/>
        <v>364.42</v>
      </c>
      <c r="K24" s="694">
        <f t="shared" si="4"/>
        <v>310.44</v>
      </c>
      <c r="L24" s="694">
        <f t="shared" si="5"/>
        <v>674.86</v>
      </c>
      <c r="M24" s="694"/>
      <c r="N24" s="694">
        <f>+L24-H24</f>
        <v>6.0200000000000955</v>
      </c>
      <c r="O24" s="695">
        <f t="shared" si="7"/>
        <v>9.0006578553915671E-3</v>
      </c>
    </row>
    <row r="25" spans="2:15" x14ac:dyDescent="0.2">
      <c r="B25" s="691">
        <f>IF(D25&lt;&gt;"",COUNTA($D$10:D25),"")</f>
        <v>16</v>
      </c>
      <c r="C25" s="691" t="s">
        <v>627</v>
      </c>
      <c r="D25" s="693">
        <v>530</v>
      </c>
      <c r="E25" s="693"/>
      <c r="F25" s="694">
        <f t="shared" si="0"/>
        <v>102.33</v>
      </c>
      <c r="G25" s="694">
        <f t="shared" si="1"/>
        <v>82.27</v>
      </c>
      <c r="H25" s="694">
        <f t="shared" si="2"/>
        <v>184.6</v>
      </c>
      <c r="I25" s="694"/>
      <c r="J25" s="694">
        <f t="shared" si="3"/>
        <v>103.92</v>
      </c>
      <c r="K25" s="694">
        <f t="shared" si="4"/>
        <v>82.27</v>
      </c>
      <c r="L25" s="694">
        <f t="shared" si="5"/>
        <v>186.19</v>
      </c>
      <c r="M25" s="694"/>
      <c r="N25" s="694">
        <f t="shared" si="6"/>
        <v>1.5900000000000034</v>
      </c>
      <c r="O25" s="695">
        <f t="shared" si="7"/>
        <v>8.6132177681473646E-3</v>
      </c>
    </row>
    <row r="26" spans="2:15" x14ac:dyDescent="0.2">
      <c r="B26" s="691" t="str">
        <f>IF(D26&lt;&gt;"",COUNTA($C$11:D26),"")</f>
        <v/>
      </c>
      <c r="C26" s="691"/>
      <c r="D26" s="696"/>
      <c r="E26" s="694"/>
      <c r="F26" s="768"/>
      <c r="G26" s="694"/>
      <c r="H26" s="768"/>
      <c r="I26" s="694"/>
      <c r="J26" s="694"/>
      <c r="K26" s="694"/>
      <c r="L26" s="697"/>
      <c r="M26" s="694"/>
      <c r="N26" s="695"/>
    </row>
    <row r="27" spans="2:15" ht="15.75" x14ac:dyDescent="0.25">
      <c r="B27" s="691" t="str">
        <f>IF(D27&lt;&gt;"",COUNTA($C$11:D27),"")</f>
        <v/>
      </c>
      <c r="C27" s="691"/>
      <c r="D27" s="698"/>
      <c r="E27" s="699"/>
      <c r="F27" s="769"/>
      <c r="G27" s="699"/>
      <c r="H27" s="769"/>
      <c r="I27" s="699"/>
      <c r="J27" s="699"/>
      <c r="K27" s="699"/>
      <c r="L27" s="700"/>
      <c r="M27" s="700"/>
      <c r="N27"/>
    </row>
    <row r="28" spans="2:15" ht="15.75" x14ac:dyDescent="0.25">
      <c r="B28" s="691">
        <f>IF(D28&lt;&gt;"",COUNTA($C$11:D28),"")</f>
        <v>17</v>
      </c>
      <c r="C28" s="691"/>
      <c r="D28" s="701" t="s">
        <v>27</v>
      </c>
      <c r="E28" s="697"/>
      <c r="F28" s="770"/>
      <c r="G28" s="771" t="str">
        <f>F10</f>
        <v>2024 Without CVEO</v>
      </c>
      <c r="H28" s="772" t="str">
        <f>J10</f>
        <v>2024 With CVEO</v>
      </c>
      <c r="J28" s="773"/>
      <c r="K28" s="697"/>
      <c r="L28" s="702"/>
      <c r="M28" s="702"/>
      <c r="N28" s="703"/>
    </row>
    <row r="29" spans="2:15" ht="15.75" x14ac:dyDescent="0.25">
      <c r="B29" s="691">
        <f>IF(D29&lt;&gt;"",COUNTA($C$11:D29),"")</f>
        <v>18</v>
      </c>
      <c r="C29" s="691"/>
      <c r="D29" s="701" t="s">
        <v>27</v>
      </c>
      <c r="E29" s="697"/>
      <c r="F29" s="770"/>
      <c r="G29" s="774" t="s">
        <v>162</v>
      </c>
      <c r="H29" s="775" t="s">
        <v>162</v>
      </c>
      <c r="J29" s="774" t="s">
        <v>626</v>
      </c>
      <c r="K29" s="697"/>
      <c r="L29" s="704"/>
      <c r="M29" s="704"/>
      <c r="N29" s="704"/>
    </row>
    <row r="30" spans="2:15" ht="15.75" x14ac:dyDescent="0.25">
      <c r="B30" s="691">
        <f>IF(D30&lt;&gt;"",COUNTA($C$11:D30),"")</f>
        <v>19</v>
      </c>
      <c r="C30" s="691"/>
      <c r="D30" s="690" t="s">
        <v>141</v>
      </c>
      <c r="E30" s="697"/>
      <c r="F30" s="770"/>
      <c r="G30" s="705">
        <v>10</v>
      </c>
      <c r="H30" s="705">
        <v>10</v>
      </c>
      <c r="J30" s="705">
        <f t="shared" ref="J30:J54" si="8">+H30-G30</f>
        <v>0</v>
      </c>
      <c r="K30" s="697"/>
      <c r="L30" s="706"/>
      <c r="M30" s="707"/>
      <c r="N30" s="707"/>
    </row>
    <row r="31" spans="2:15" ht="15.75" x14ac:dyDescent="0.25">
      <c r="B31" s="691">
        <f>IF(D31&lt;&gt;"",COUNTA($C$11:D31),"")</f>
        <v>20</v>
      </c>
      <c r="C31" s="691"/>
      <c r="D31" s="708" t="s">
        <v>628</v>
      </c>
      <c r="E31" s="697"/>
      <c r="F31" s="770"/>
      <c r="G31" s="709">
        <v>5.9089999999999997E-2</v>
      </c>
      <c r="H31" s="709">
        <v>5.9089999999999997E-2</v>
      </c>
      <c r="J31" s="709">
        <f t="shared" si="8"/>
        <v>0</v>
      </c>
      <c r="K31" s="697"/>
      <c r="L31" s="710"/>
      <c r="M31" s="710"/>
      <c r="N31" s="707"/>
    </row>
    <row r="32" spans="2:15" ht="15.75" x14ac:dyDescent="0.25">
      <c r="B32" s="691">
        <f>IF(D32&lt;&gt;"",COUNTA($C$11:D32),"")</f>
        <v>21</v>
      </c>
      <c r="C32" s="691"/>
      <c r="D32" s="708" t="s">
        <v>629</v>
      </c>
      <c r="E32" s="697"/>
      <c r="F32" s="770"/>
      <c r="G32" s="709">
        <v>1.01E-3</v>
      </c>
      <c r="H32" s="709">
        <v>1.01E-3</v>
      </c>
      <c r="J32" s="709">
        <f t="shared" si="8"/>
        <v>0</v>
      </c>
      <c r="K32" s="697"/>
      <c r="L32" s="710"/>
      <c r="M32" s="710"/>
      <c r="N32" s="707"/>
    </row>
    <row r="33" spans="2:17" ht="15.75" x14ac:dyDescent="0.25">
      <c r="B33" s="691">
        <f>IF(D33&lt;&gt;"",COUNTA($C$11:D33),"")</f>
        <v>22</v>
      </c>
      <c r="C33" s="691"/>
      <c r="D33" s="708" t="s">
        <v>630</v>
      </c>
      <c r="E33" s="697"/>
      <c r="F33" s="770"/>
      <c r="G33" s="709">
        <v>6.0000000000000002E-5</v>
      </c>
      <c r="H33" s="709">
        <v>6.0000000000000002E-5</v>
      </c>
      <c r="J33" s="709">
        <f t="shared" si="8"/>
        <v>0</v>
      </c>
      <c r="K33" s="697"/>
      <c r="L33" s="710"/>
      <c r="M33" s="710"/>
      <c r="N33" s="707"/>
      <c r="Q33" s="711"/>
    </row>
    <row r="34" spans="2:17" ht="15.75" x14ac:dyDescent="0.25">
      <c r="B34" s="691">
        <f>IF(D34&lt;&gt;"",COUNTA($C$11:D34),"")</f>
        <v>23</v>
      </c>
      <c r="C34" s="691"/>
      <c r="D34" s="708" t="s">
        <v>631</v>
      </c>
      <c r="E34" s="697"/>
      <c r="F34" s="770"/>
      <c r="G34" s="709">
        <v>8.0000000000000002E-3</v>
      </c>
      <c r="H34" s="709">
        <v>8.0000000000000002E-3</v>
      </c>
      <c r="J34" s="709">
        <f t="shared" si="8"/>
        <v>0</v>
      </c>
      <c r="K34" s="697"/>
      <c r="L34" s="710"/>
      <c r="M34" s="710"/>
      <c r="N34" s="707"/>
      <c r="Q34" s="711"/>
    </row>
    <row r="35" spans="2:17" ht="15.75" x14ac:dyDescent="0.25">
      <c r="B35" s="691">
        <f>IF(D35&lt;&gt;"",COUNTA($C$11:D35),"")</f>
        <v>24</v>
      </c>
      <c r="C35" s="691"/>
      <c r="D35" s="708" t="s">
        <v>632</v>
      </c>
      <c r="E35" s="697"/>
      <c r="F35" s="770"/>
      <c r="G35" s="709">
        <v>8.1600000000000006E-3</v>
      </c>
      <c r="H35" s="709">
        <v>8.1600000000000006E-3</v>
      </c>
      <c r="J35" s="709">
        <f t="shared" si="8"/>
        <v>0</v>
      </c>
      <c r="K35" s="697"/>
      <c r="L35" s="710"/>
      <c r="M35" s="710"/>
      <c r="N35" s="707"/>
      <c r="Q35" s="711"/>
    </row>
    <row r="36" spans="2:17" ht="15.75" x14ac:dyDescent="0.25">
      <c r="B36" s="691">
        <f>IF(D36&lt;&gt;"",COUNTA($C$11:D36),"")</f>
        <v>25</v>
      </c>
      <c r="C36" s="691"/>
      <c r="D36" s="708" t="s">
        <v>633</v>
      </c>
      <c r="E36" s="697"/>
      <c r="F36" s="770"/>
      <c r="G36" s="709">
        <v>8.5999999999999998E-4</v>
      </c>
      <c r="H36" s="709">
        <v>8.5999999999999998E-4</v>
      </c>
      <c r="J36" s="709">
        <f t="shared" si="8"/>
        <v>0</v>
      </c>
      <c r="K36" s="697"/>
      <c r="L36" s="710"/>
      <c r="M36" s="710"/>
      <c r="N36" s="707"/>
      <c r="Q36" s="711"/>
    </row>
    <row r="37" spans="2:17" ht="15.75" x14ac:dyDescent="0.25">
      <c r="B37" s="691">
        <f>IF(D37&lt;&gt;"",COUNTA($C$11:D37),"")</f>
        <v>26</v>
      </c>
      <c r="C37" s="691"/>
      <c r="D37" s="708" t="s">
        <v>634</v>
      </c>
      <c r="E37" s="697"/>
      <c r="F37" s="697"/>
      <c r="G37" s="709">
        <v>1.6219999999999998E-2</v>
      </c>
      <c r="H37" s="709">
        <v>1.6219999999999998E-2</v>
      </c>
      <c r="J37" s="709">
        <f t="shared" si="8"/>
        <v>0</v>
      </c>
      <c r="K37" s="697"/>
      <c r="L37" s="710"/>
      <c r="M37" s="710"/>
      <c r="N37" s="707"/>
      <c r="Q37" s="711"/>
    </row>
    <row r="38" spans="2:17" ht="15.75" x14ac:dyDescent="0.25">
      <c r="B38" s="691">
        <f>IF(D38&lt;&gt;"",COUNTA($C$11:D38),"")</f>
        <v>27</v>
      </c>
      <c r="C38" s="691"/>
      <c r="D38" s="708" t="s">
        <v>635</v>
      </c>
      <c r="E38" s="697"/>
      <c r="F38" s="697"/>
      <c r="G38" s="709">
        <v>-1.9300000000000001E-3</v>
      </c>
      <c r="H38" s="709">
        <v>-1.9300000000000001E-3</v>
      </c>
      <c r="J38" s="709">
        <f t="shared" si="8"/>
        <v>0</v>
      </c>
      <c r="K38" s="697"/>
      <c r="L38" s="710"/>
      <c r="M38" s="710"/>
      <c r="N38" s="707"/>
      <c r="Q38" s="711"/>
    </row>
    <row r="39" spans="2:17" ht="15.75" x14ac:dyDescent="0.25">
      <c r="B39" s="691">
        <f>IF(D39&lt;&gt;"",COUNTA($C$11:D39),"")</f>
        <v>28</v>
      </c>
      <c r="C39" s="691"/>
      <c r="D39" s="708" t="s">
        <v>636</v>
      </c>
      <c r="E39" s="697"/>
      <c r="F39" s="697"/>
      <c r="G39" s="709">
        <v>5.0000000000000002E-5</v>
      </c>
      <c r="H39" s="709">
        <v>5.0000000000000002E-5</v>
      </c>
      <c r="J39" s="709">
        <f t="shared" si="8"/>
        <v>0</v>
      </c>
      <c r="K39" s="697"/>
      <c r="L39" s="710"/>
      <c r="M39" s="710"/>
      <c r="N39" s="707"/>
      <c r="Q39" s="711"/>
    </row>
    <row r="40" spans="2:17" ht="15.75" x14ac:dyDescent="0.25">
      <c r="B40" s="691">
        <f>IF(D40&lt;&gt;"",COUNTA($C$11:D40),"")</f>
        <v>29</v>
      </c>
      <c r="C40" s="691"/>
      <c r="D40" s="708" t="s">
        <v>637</v>
      </c>
      <c r="E40" s="697"/>
      <c r="F40" s="697"/>
      <c r="G40" s="709">
        <v>6.6299999999999996E-3</v>
      </c>
      <c r="H40" s="709">
        <v>6.6299999999999996E-3</v>
      </c>
      <c r="J40" s="709">
        <f t="shared" si="8"/>
        <v>0</v>
      </c>
      <c r="K40" s="697"/>
      <c r="L40" s="710"/>
      <c r="M40" s="710"/>
      <c r="N40" s="707"/>
      <c r="Q40" s="711"/>
    </row>
    <row r="41" spans="2:17" ht="15.75" x14ac:dyDescent="0.25">
      <c r="B41" s="691">
        <f>IF(D41&lt;&gt;"",COUNTA($C$11:D41),"")</f>
        <v>30</v>
      </c>
      <c r="C41" s="691"/>
      <c r="D41" s="708" t="s">
        <v>638</v>
      </c>
      <c r="E41" s="697"/>
      <c r="F41" s="697"/>
      <c r="G41" s="709">
        <v>0</v>
      </c>
      <c r="H41" s="709">
        <v>0</v>
      </c>
      <c r="J41" s="709">
        <f t="shared" si="8"/>
        <v>0</v>
      </c>
      <c r="K41" s="697"/>
      <c r="L41" s="710"/>
      <c r="M41" s="710"/>
      <c r="N41" s="707"/>
      <c r="Q41" s="711"/>
    </row>
    <row r="42" spans="2:17" ht="15.75" x14ac:dyDescent="0.25">
      <c r="B42" s="691">
        <f>IF(D42&lt;&gt;"",COUNTA($C$11:D42),"")</f>
        <v>31</v>
      </c>
      <c r="C42" s="691"/>
      <c r="D42" s="708" t="s">
        <v>639</v>
      </c>
      <c r="E42" s="697"/>
      <c r="F42" s="697"/>
      <c r="G42" s="709">
        <v>-4.6000000000000001E-4</v>
      </c>
      <c r="H42" s="709">
        <v>-4.6000000000000001E-4</v>
      </c>
      <c r="J42" s="709">
        <f t="shared" si="8"/>
        <v>0</v>
      </c>
      <c r="K42" s="697"/>
      <c r="L42" s="710"/>
      <c r="M42" s="710"/>
      <c r="N42" s="707"/>
      <c r="Q42" s="711"/>
    </row>
    <row r="43" spans="2:17" ht="15.75" x14ac:dyDescent="0.25">
      <c r="B43" s="691">
        <f>IF(D43&lt;&gt;"",COUNTA($C$11:D43),"")</f>
        <v>32</v>
      </c>
      <c r="C43" s="691"/>
      <c r="D43" s="708" t="s">
        <v>640</v>
      </c>
      <c r="E43" s="697"/>
      <c r="F43" s="697"/>
      <c r="G43" s="709">
        <v>2.0000000000000002E-5</v>
      </c>
      <c r="H43" s="709">
        <v>2.0000000000000002E-5</v>
      </c>
      <c r="J43" s="709">
        <f t="shared" si="8"/>
        <v>0</v>
      </c>
      <c r="K43" s="697"/>
      <c r="L43" s="710"/>
      <c r="M43" s="710"/>
      <c r="N43" s="707"/>
      <c r="Q43" s="711"/>
    </row>
    <row r="44" spans="2:17" ht="15.75" x14ac:dyDescent="0.25">
      <c r="B44" s="691">
        <f>IF(D44&lt;&gt;"",COUNTA($C$11:D44),"")</f>
        <v>33</v>
      </c>
      <c r="C44" s="691"/>
      <c r="D44" s="708" t="s">
        <v>641</v>
      </c>
      <c r="E44" s="697"/>
      <c r="F44" s="697"/>
      <c r="G44" s="709">
        <v>-5.1000000000000004E-4</v>
      </c>
      <c r="H44" s="709">
        <v>-5.1000000000000004E-4</v>
      </c>
      <c r="J44" s="709">
        <f t="shared" si="8"/>
        <v>0</v>
      </c>
      <c r="K44" s="697"/>
      <c r="L44" s="710"/>
      <c r="M44" s="710"/>
      <c r="N44" s="707"/>
      <c r="Q44" s="711"/>
    </row>
    <row r="45" spans="2:17" ht="15.75" x14ac:dyDescent="0.25">
      <c r="B45" s="691">
        <f>IF(D45&lt;&gt;"",COUNTA($C$11:D45),"")</f>
        <v>34</v>
      </c>
      <c r="C45" s="691"/>
      <c r="D45" s="708" t="s">
        <v>642</v>
      </c>
      <c r="E45" s="697"/>
      <c r="F45" s="697"/>
      <c r="G45" s="709">
        <v>1.9300000000000001E-3</v>
      </c>
      <c r="H45" s="709">
        <v>1.9300000000000001E-3</v>
      </c>
      <c r="J45" s="709">
        <f t="shared" si="8"/>
        <v>0</v>
      </c>
      <c r="K45" s="697"/>
      <c r="L45" s="710"/>
      <c r="M45" s="710"/>
      <c r="N45" s="707"/>
      <c r="Q45" s="711"/>
    </row>
    <row r="46" spans="2:17" ht="15.75" x14ac:dyDescent="0.25">
      <c r="B46" s="691">
        <f>IF(D46&lt;&gt;"",COUNTA($C$11:D46),"")</f>
        <v>35</v>
      </c>
      <c r="C46" s="691"/>
      <c r="D46" s="708" t="s">
        <v>643</v>
      </c>
      <c r="E46" s="697"/>
      <c r="F46" s="697"/>
      <c r="G46" s="709">
        <v>-1.8E-3</v>
      </c>
      <c r="H46" s="709">
        <v>-1.8E-3</v>
      </c>
      <c r="J46" s="709">
        <f t="shared" si="8"/>
        <v>0</v>
      </c>
      <c r="K46" s="697"/>
      <c r="L46" s="710"/>
      <c r="M46" s="710"/>
      <c r="N46" s="707"/>
      <c r="Q46" s="711"/>
    </row>
    <row r="47" spans="2:17" ht="15.75" x14ac:dyDescent="0.25">
      <c r="B47" s="691">
        <f>IF(D47&lt;&gt;"",COUNTA($C$11:D47),"")</f>
        <v>36</v>
      </c>
      <c r="C47" s="691"/>
      <c r="D47" s="708" t="s">
        <v>644</v>
      </c>
      <c r="E47" s="697"/>
      <c r="F47" s="697"/>
      <c r="G47" s="709">
        <v>1.89E-3</v>
      </c>
      <c r="H47" s="709">
        <v>1.89E-3</v>
      </c>
      <c r="J47" s="709">
        <f t="shared" si="8"/>
        <v>0</v>
      </c>
      <c r="K47" s="697"/>
      <c r="L47" s="710"/>
      <c r="M47" s="710"/>
      <c r="N47" s="707"/>
      <c r="Q47" s="711" t="s">
        <v>27</v>
      </c>
    </row>
    <row r="48" spans="2:17" ht="15.75" x14ac:dyDescent="0.25">
      <c r="B48" s="691">
        <f>IF(D48&lt;&gt;"",COUNTA($C$11:D48),"")</f>
        <v>37</v>
      </c>
      <c r="C48" s="691"/>
      <c r="D48" s="708" t="s">
        <v>645</v>
      </c>
      <c r="E48" s="697"/>
      <c r="F48" s="697"/>
      <c r="G48" s="709">
        <v>3.1800000000000001E-3</v>
      </c>
      <c r="H48" s="709">
        <v>3.1800000000000001E-3</v>
      </c>
      <c r="I48" s="709"/>
      <c r="J48" s="709">
        <f t="shared" si="8"/>
        <v>0</v>
      </c>
      <c r="K48" s="697"/>
      <c r="L48" s="710"/>
      <c r="M48" s="710"/>
      <c r="N48" s="707"/>
      <c r="Q48" s="711"/>
    </row>
    <row r="49" spans="2:15" ht="15.75" x14ac:dyDescent="0.25">
      <c r="B49" s="691">
        <f>IF(D49&lt;&gt;"",COUNTA($C$11:D49),"")</f>
        <v>38</v>
      </c>
      <c r="C49" s="691"/>
      <c r="D49" s="708" t="s">
        <v>646</v>
      </c>
      <c r="E49" s="697"/>
      <c r="F49" s="697"/>
      <c r="G49" s="709">
        <v>-3.6999999999999999E-4</v>
      </c>
      <c r="H49" s="709">
        <v>-3.6999999999999999E-4</v>
      </c>
      <c r="J49" s="709">
        <f t="shared" si="8"/>
        <v>0</v>
      </c>
      <c r="K49" s="697"/>
      <c r="L49" s="710"/>
      <c r="M49" s="710"/>
      <c r="N49" s="707"/>
    </row>
    <row r="50" spans="2:15" ht="15.75" x14ac:dyDescent="0.25">
      <c r="B50" s="691">
        <f>IF(D50&lt;&gt;"",COUNTA($C$11:D50),"")</f>
        <v>39</v>
      </c>
      <c r="C50" s="691"/>
      <c r="D50" s="708" t="s">
        <v>647</v>
      </c>
      <c r="E50" s="697"/>
      <c r="F50" s="697"/>
      <c r="G50" s="709">
        <v>4.052E-2</v>
      </c>
      <c r="H50" s="709">
        <v>4.052E-2</v>
      </c>
      <c r="J50" s="709">
        <f t="shared" si="8"/>
        <v>0</v>
      </c>
      <c r="K50" s="697"/>
      <c r="L50" s="710"/>
      <c r="M50" s="710"/>
      <c r="N50" s="707"/>
    </row>
    <row r="51" spans="2:15" ht="15.75" x14ac:dyDescent="0.25">
      <c r="B51" s="691">
        <f>IF(D51&lt;&gt;"",COUNTA($C$11:D51),"")</f>
        <v>40</v>
      </c>
      <c r="C51" s="691"/>
      <c r="D51" s="708" t="s">
        <v>648</v>
      </c>
      <c r="E51" s="697"/>
      <c r="F51" s="697"/>
      <c r="G51" s="709">
        <f>EES!$E$22</f>
        <v>2.8649999999999998E-2</v>
      </c>
      <c r="H51" s="709">
        <f>EES!$I$22</f>
        <v>3.1660000000000001E-2</v>
      </c>
      <c r="J51" s="709">
        <f t="shared" si="8"/>
        <v>3.0100000000000023E-3</v>
      </c>
      <c r="K51" s="712"/>
      <c r="L51" s="710"/>
      <c r="M51" s="710"/>
      <c r="N51" s="707"/>
    </row>
    <row r="52" spans="2:15" ht="15.75" x14ac:dyDescent="0.25">
      <c r="B52" s="691">
        <f>IF(D52&lt;&gt;"",COUNTA($C$11:D52),"")</f>
        <v>41</v>
      </c>
      <c r="C52" s="691"/>
      <c r="D52" s="708" t="s">
        <v>649</v>
      </c>
      <c r="E52" s="697"/>
      <c r="F52" s="697"/>
      <c r="G52" s="709">
        <v>2.5000000000000001E-3</v>
      </c>
      <c r="H52" s="709">
        <v>2.5000000000000001E-3</v>
      </c>
      <c r="J52" s="709">
        <f t="shared" si="8"/>
        <v>0</v>
      </c>
      <c r="K52" s="697"/>
      <c r="L52" s="710"/>
      <c r="M52" s="710"/>
      <c r="N52" s="707"/>
    </row>
    <row r="53" spans="2:15" ht="15.75" x14ac:dyDescent="0.25">
      <c r="B53" s="691">
        <f>IF(D53&lt;&gt;"",COUNTA($C$11:D53),"")</f>
        <v>42</v>
      </c>
      <c r="C53" s="691"/>
      <c r="D53" s="708" t="s">
        <v>650</v>
      </c>
      <c r="E53" s="697"/>
      <c r="F53" s="697"/>
      <c r="G53" s="709">
        <v>5.0000000000000001E-4</v>
      </c>
      <c r="H53" s="709">
        <v>5.0000000000000001E-4</v>
      </c>
      <c r="J53" s="709">
        <f t="shared" si="8"/>
        <v>0</v>
      </c>
      <c r="K53" s="697"/>
      <c r="L53" s="710"/>
      <c r="M53" s="710"/>
      <c r="N53" s="707"/>
    </row>
    <row r="54" spans="2:15" ht="15.75" x14ac:dyDescent="0.25">
      <c r="B54" s="691">
        <f>IF(D54&lt;&gt;"",COUNTA($C$11:D54),"")</f>
        <v>43</v>
      </c>
      <c r="C54" s="691"/>
      <c r="D54" s="708" t="s">
        <v>651</v>
      </c>
      <c r="E54" s="697"/>
      <c r="F54" s="697"/>
      <c r="G54" s="709">
        <v>0.15522</v>
      </c>
      <c r="H54" s="709">
        <v>0.15522</v>
      </c>
      <c r="J54" s="709">
        <f t="shared" si="8"/>
        <v>0</v>
      </c>
      <c r="K54" s="697"/>
      <c r="L54" s="710"/>
      <c r="M54" s="710"/>
      <c r="N54" s="707"/>
    </row>
    <row r="55" spans="2:15" ht="15.75" x14ac:dyDescent="0.25">
      <c r="L55" s="710"/>
      <c r="M55" s="710"/>
      <c r="N55" s="710"/>
    </row>
    <row r="56" spans="2:15" ht="15.75" x14ac:dyDescent="0.25">
      <c r="L56" s="710"/>
      <c r="M56" s="710"/>
      <c r="N56" s="710"/>
    </row>
    <row r="57" spans="2:15" x14ac:dyDescent="0.2">
      <c r="B57" s="1069" t="str">
        <f>$B$3</f>
        <v>Cape Light Compact JPE</v>
      </c>
      <c r="C57" s="1069"/>
      <c r="D57" s="1069"/>
      <c r="E57" s="1069"/>
      <c r="F57" s="1069"/>
      <c r="G57" s="1069"/>
      <c r="H57" s="1069"/>
      <c r="I57" s="1069"/>
      <c r="J57" s="1069"/>
      <c r="K57" s="1069"/>
      <c r="L57" s="1069"/>
      <c r="M57" s="1069"/>
      <c r="N57" s="1069"/>
      <c r="O57" s="1069"/>
    </row>
    <row r="58" spans="2:15" x14ac:dyDescent="0.2">
      <c r="B58" s="1069" t="str">
        <f>$B$4</f>
        <v>Calculation of Monthly Typical Bill</v>
      </c>
      <c r="C58" s="1069"/>
      <c r="D58" s="1069"/>
      <c r="E58" s="1069"/>
      <c r="F58" s="1069"/>
      <c r="G58" s="1069"/>
      <c r="H58" s="1069"/>
      <c r="I58" s="1069"/>
      <c r="J58" s="1069"/>
      <c r="K58" s="1069"/>
      <c r="L58" s="1069"/>
      <c r="M58" s="1069"/>
      <c r="N58" s="1069"/>
      <c r="O58" s="1069"/>
    </row>
    <row r="59" spans="2:15" x14ac:dyDescent="0.2">
      <c r="B59" s="1069" t="str">
        <f>$B$5</f>
        <v>Illustrative 2024 EES Rates</v>
      </c>
      <c r="C59" s="1069"/>
      <c r="D59" s="1069"/>
      <c r="E59" s="1069"/>
      <c r="F59" s="1069"/>
      <c r="G59" s="1069"/>
      <c r="H59" s="1069"/>
      <c r="I59" s="1069"/>
      <c r="J59" s="1069"/>
      <c r="K59" s="1069"/>
      <c r="L59" s="1069"/>
      <c r="M59" s="1069"/>
      <c r="N59" s="1069"/>
      <c r="O59" s="1069"/>
    </row>
    <row r="60" spans="2:15" ht="15.75" x14ac:dyDescent="0.25">
      <c r="B60" s="713"/>
      <c r="C60" s="713"/>
      <c r="D60" s="713"/>
      <c r="E60" s="713"/>
      <c r="F60" s="713"/>
      <c r="G60" s="713"/>
      <c r="H60" s="713"/>
      <c r="I60" s="713"/>
      <c r="J60" s="713"/>
      <c r="K60" s="713"/>
      <c r="L60" s="713"/>
      <c r="M60" s="713"/>
      <c r="N60" s="713"/>
    </row>
    <row r="61" spans="2:15" ht="15.75" x14ac:dyDescent="0.25">
      <c r="B61" s="1070" t="s">
        <v>598</v>
      </c>
      <c r="C61" s="1070"/>
      <c r="D61" s="1070"/>
      <c r="E61" s="1070"/>
      <c r="F61" s="1070"/>
      <c r="G61" s="1070"/>
      <c r="H61" s="1070"/>
      <c r="I61" s="1070"/>
      <c r="J61" s="1070"/>
      <c r="K61" s="1070"/>
      <c r="L61" s="1070"/>
      <c r="M61" s="1070"/>
      <c r="N61" s="1070"/>
      <c r="O61" s="1070"/>
    </row>
    <row r="62" spans="2:15" ht="15.75" x14ac:dyDescent="0.25">
      <c r="B62" s="689"/>
      <c r="C62" s="689"/>
      <c r="D62" s="690"/>
      <c r="E62" s="690"/>
      <c r="F62" s="690"/>
      <c r="G62" s="765"/>
      <c r="H62" s="690"/>
      <c r="I62"/>
      <c r="J62"/>
      <c r="K62"/>
      <c r="L62"/>
      <c r="M62"/>
      <c r="N62"/>
    </row>
    <row r="63" spans="2:15" ht="15.75" x14ac:dyDescent="0.25">
      <c r="B63" s="689"/>
      <c r="C63" s="689"/>
      <c r="D63" s="690"/>
      <c r="E63" s="690"/>
      <c r="F63" s="690"/>
      <c r="G63" s="766"/>
      <c r="H63" s="690"/>
      <c r="I63"/>
      <c r="J63"/>
      <c r="K63"/>
      <c r="L63"/>
      <c r="M63"/>
      <c r="N63"/>
    </row>
    <row r="64" spans="2:15" ht="15.75" x14ac:dyDescent="0.25">
      <c r="B64" s="691">
        <f>IF(D64&lt;&gt;"",COUNTA($D$64:D64),"")</f>
        <v>1</v>
      </c>
      <c r="C64" s="691"/>
      <c r="D64" s="689" t="s">
        <v>12</v>
      </c>
      <c r="E64" s="689"/>
      <c r="F64" s="1067" t="str">
        <f>$F$10</f>
        <v>2024 Without CVEO</v>
      </c>
      <c r="G64" s="1067"/>
      <c r="H64" s="1067"/>
      <c r="I64" s="690"/>
      <c r="J64" s="1067" t="str">
        <f>$J$10</f>
        <v>2024 With CVEO</v>
      </c>
      <c r="K64" s="1068"/>
      <c r="L64" s="1068"/>
      <c r="M64"/>
      <c r="N64" s="1068" t="str">
        <f>$N$10</f>
        <v>Total Bill Impact</v>
      </c>
      <c r="O64" s="1068"/>
    </row>
    <row r="65" spans="2:15" ht="15.75" x14ac:dyDescent="0.25">
      <c r="B65" s="691">
        <f>IF(D65&lt;&gt;"",COUNTA($D$64:D65),"")</f>
        <v>2</v>
      </c>
      <c r="C65" s="691"/>
      <c r="D65" s="692" t="s">
        <v>158</v>
      </c>
      <c r="E65" s="692"/>
      <c r="F65" s="692" t="str">
        <f>F$11</f>
        <v>Delivery</v>
      </c>
      <c r="G65" s="692" t="str">
        <f>G$11</f>
        <v>Supplier</v>
      </c>
      <c r="H65" s="692" t="str">
        <f>H$11</f>
        <v>Total</v>
      </c>
      <c r="I65" s="690"/>
      <c r="J65" s="692" t="str">
        <f>J$11</f>
        <v>Delivery</v>
      </c>
      <c r="K65" s="692" t="str">
        <f>K$11</f>
        <v>Supplier</v>
      </c>
      <c r="L65" s="692" t="str">
        <f>L$11</f>
        <v>Total</v>
      </c>
      <c r="M65"/>
      <c r="N65" s="692" t="str">
        <f>N$11</f>
        <v>Change</v>
      </c>
      <c r="O65" s="692" t="str">
        <f>O$11</f>
        <v>% Change</v>
      </c>
    </row>
    <row r="66" spans="2:15" x14ac:dyDescent="0.2">
      <c r="B66" s="691">
        <f>IF(D66&lt;&gt;"",COUNTA($D$64:D66),"")</f>
        <v>3</v>
      </c>
      <c r="C66" s="691"/>
      <c r="D66" s="693">
        <v>100</v>
      </c>
      <c r="E66" s="693"/>
      <c r="F66" s="694">
        <f t="shared" ref="F66:F79" si="9">ROUND(($D66*SUM($G$85:$G$107)+$G$84)*(1-$G$109),2)</f>
        <v>15.9</v>
      </c>
      <c r="G66" s="694">
        <f t="shared" ref="G66:G79" si="10">ROUND((G$108*$D66)*(1-G$109),2)</f>
        <v>9</v>
      </c>
      <c r="H66" s="694">
        <f t="shared" ref="H66:H79" si="11">SUM(F66:G66)</f>
        <v>24.9</v>
      </c>
      <c r="I66" s="697"/>
      <c r="J66" s="694">
        <f t="shared" ref="J66:J79" si="12">ROUND(($D66*SUM($H$85:$H$107)+$H$84)*(1-$H$109),2)</f>
        <v>16.079999999999998</v>
      </c>
      <c r="K66" s="694">
        <f t="shared" ref="K66:K79" si="13">ROUND((H$108*$D66)*(1-H$109),2)</f>
        <v>9</v>
      </c>
      <c r="L66" s="694">
        <f t="shared" ref="L66:L79" si="14">SUM(J66:K66)</f>
        <v>25.08</v>
      </c>
      <c r="M66" s="697"/>
      <c r="N66" s="694">
        <f t="shared" ref="N66:N79" si="15">+L66-H66</f>
        <v>0.17999999999999972</v>
      </c>
      <c r="O66" s="695">
        <f t="shared" ref="O66:O79" si="16">+N66/H66</f>
        <v>7.2289156626505913E-3</v>
      </c>
    </row>
    <row r="67" spans="2:15" x14ac:dyDescent="0.2">
      <c r="B67" s="691">
        <f>IF(D67&lt;&gt;"",COUNTA($D$64:D67),"")</f>
        <v>4</v>
      </c>
      <c r="C67" s="691"/>
      <c r="D67" s="693">
        <v>200</v>
      </c>
      <c r="E67" s="693"/>
      <c r="F67" s="694">
        <f t="shared" si="9"/>
        <v>26.01</v>
      </c>
      <c r="G67" s="694">
        <f t="shared" si="10"/>
        <v>18.010000000000002</v>
      </c>
      <c r="H67" s="694">
        <f t="shared" si="11"/>
        <v>44.02</v>
      </c>
      <c r="I67" s="697"/>
      <c r="J67" s="694">
        <f t="shared" si="12"/>
        <v>26.36</v>
      </c>
      <c r="K67" s="694">
        <f t="shared" si="13"/>
        <v>18.010000000000002</v>
      </c>
      <c r="L67" s="694">
        <f t="shared" si="14"/>
        <v>44.370000000000005</v>
      </c>
      <c r="M67" s="697"/>
      <c r="N67" s="694">
        <f t="shared" si="15"/>
        <v>0.35000000000000142</v>
      </c>
      <c r="O67" s="695">
        <f t="shared" si="16"/>
        <v>7.9509313948205682E-3</v>
      </c>
    </row>
    <row r="68" spans="2:15" x14ac:dyDescent="0.2">
      <c r="B68" s="691">
        <f>IF(D68&lt;&gt;"",COUNTA($D$64:D68),"")</f>
        <v>5</v>
      </c>
      <c r="C68" s="691"/>
      <c r="D68" s="693">
        <v>300</v>
      </c>
      <c r="E68" s="693"/>
      <c r="F68" s="694">
        <f t="shared" si="9"/>
        <v>36.11</v>
      </c>
      <c r="G68" s="694">
        <f t="shared" si="10"/>
        <v>27.01</v>
      </c>
      <c r="H68" s="694">
        <f t="shared" si="11"/>
        <v>63.120000000000005</v>
      </c>
      <c r="I68" s="697"/>
      <c r="J68" s="694">
        <f t="shared" si="12"/>
        <v>36.630000000000003</v>
      </c>
      <c r="K68" s="694">
        <f t="shared" si="13"/>
        <v>27.01</v>
      </c>
      <c r="L68" s="694">
        <f t="shared" si="14"/>
        <v>63.64</v>
      </c>
      <c r="M68" s="697"/>
      <c r="N68" s="694">
        <f t="shared" si="15"/>
        <v>0.51999999999999602</v>
      </c>
      <c r="O68" s="695">
        <f t="shared" si="16"/>
        <v>8.2382762991127373E-3</v>
      </c>
    </row>
    <row r="69" spans="2:15" x14ac:dyDescent="0.2">
      <c r="B69" s="691">
        <f>IF(D69&lt;&gt;"",COUNTA($D$64:D69),"")</f>
        <v>6</v>
      </c>
      <c r="C69" s="691"/>
      <c r="D69" s="693">
        <v>400</v>
      </c>
      <c r="E69" s="693"/>
      <c r="F69" s="694">
        <f t="shared" si="9"/>
        <v>46.21</v>
      </c>
      <c r="G69" s="694">
        <f t="shared" si="10"/>
        <v>36.01</v>
      </c>
      <c r="H69" s="694">
        <f t="shared" si="11"/>
        <v>82.22</v>
      </c>
      <c r="I69" s="697"/>
      <c r="J69" s="694">
        <f t="shared" si="12"/>
        <v>46.91</v>
      </c>
      <c r="K69" s="694">
        <f t="shared" si="13"/>
        <v>36.01</v>
      </c>
      <c r="L69" s="694">
        <f t="shared" si="14"/>
        <v>82.919999999999987</v>
      </c>
      <c r="M69" s="697"/>
      <c r="N69" s="694">
        <f t="shared" si="15"/>
        <v>0.69999999999998863</v>
      </c>
      <c r="O69" s="695">
        <f t="shared" si="16"/>
        <v>8.5137436146921503E-3</v>
      </c>
    </row>
    <row r="70" spans="2:15" x14ac:dyDescent="0.2">
      <c r="B70" s="691">
        <f>IF(D70&lt;&gt;"",COUNTA($D$64:D70),"")</f>
        <v>7</v>
      </c>
      <c r="C70" s="691"/>
      <c r="D70" s="693">
        <v>500</v>
      </c>
      <c r="E70" s="693"/>
      <c r="F70" s="694">
        <f t="shared" si="9"/>
        <v>56.32</v>
      </c>
      <c r="G70" s="694">
        <f t="shared" si="10"/>
        <v>45.01</v>
      </c>
      <c r="H70" s="694">
        <f t="shared" si="11"/>
        <v>101.33</v>
      </c>
      <c r="I70" s="697"/>
      <c r="J70" s="694">
        <f t="shared" si="12"/>
        <v>57.19</v>
      </c>
      <c r="K70" s="694">
        <f t="shared" si="13"/>
        <v>45.01</v>
      </c>
      <c r="L70" s="694">
        <f t="shared" si="14"/>
        <v>102.19999999999999</v>
      </c>
      <c r="M70" s="697"/>
      <c r="N70" s="694">
        <f t="shared" si="15"/>
        <v>0.86999999999999034</v>
      </c>
      <c r="O70" s="695">
        <f t="shared" si="16"/>
        <v>8.5858087437085794E-3</v>
      </c>
    </row>
    <row r="71" spans="2:15" x14ac:dyDescent="0.2">
      <c r="B71" s="691">
        <f>IF(D71&lt;&gt;"",COUNTA($D$64:D71),"")</f>
        <v>8</v>
      </c>
      <c r="C71" s="691"/>
      <c r="D71" s="693">
        <v>600</v>
      </c>
      <c r="E71" s="693"/>
      <c r="F71" s="694">
        <f t="shared" si="9"/>
        <v>66.42</v>
      </c>
      <c r="G71" s="694">
        <f t="shared" si="10"/>
        <v>54.02</v>
      </c>
      <c r="H71" s="694">
        <f t="shared" si="11"/>
        <v>120.44</v>
      </c>
      <c r="I71" s="697"/>
      <c r="J71" s="694">
        <f t="shared" si="12"/>
        <v>67.47</v>
      </c>
      <c r="K71" s="694">
        <f t="shared" si="13"/>
        <v>54.02</v>
      </c>
      <c r="L71" s="694">
        <f t="shared" si="14"/>
        <v>121.49000000000001</v>
      </c>
      <c r="M71" s="697"/>
      <c r="N71" s="694">
        <f t="shared" si="15"/>
        <v>1.0500000000000114</v>
      </c>
      <c r="O71" s="695">
        <f t="shared" si="16"/>
        <v>8.7180338757888685E-3</v>
      </c>
    </row>
    <row r="72" spans="2:15" x14ac:dyDescent="0.2">
      <c r="B72" s="691">
        <f>IF(D72&lt;&gt;"",COUNTA($D$64:D72),"")</f>
        <v>9</v>
      </c>
      <c r="C72" s="691"/>
      <c r="D72" s="693">
        <v>700</v>
      </c>
      <c r="E72" s="693"/>
      <c r="F72" s="694">
        <f t="shared" si="9"/>
        <v>76.53</v>
      </c>
      <c r="G72" s="694">
        <f t="shared" si="10"/>
        <v>63.02</v>
      </c>
      <c r="H72" s="694">
        <f t="shared" si="11"/>
        <v>139.55000000000001</v>
      </c>
      <c r="I72" s="697"/>
      <c r="J72" s="694">
        <f t="shared" si="12"/>
        <v>77.75</v>
      </c>
      <c r="K72" s="694">
        <f t="shared" si="13"/>
        <v>63.02</v>
      </c>
      <c r="L72" s="694">
        <f t="shared" si="14"/>
        <v>140.77000000000001</v>
      </c>
      <c r="M72" s="697"/>
      <c r="N72" s="694">
        <f t="shared" si="15"/>
        <v>1.2199999999999989</v>
      </c>
      <c r="O72" s="695">
        <f t="shared" si="16"/>
        <v>8.7423862414904956E-3</v>
      </c>
    </row>
    <row r="73" spans="2:15" x14ac:dyDescent="0.2">
      <c r="B73" s="691">
        <f>IF(D73&lt;&gt;"",COUNTA($D$64:D73),"")</f>
        <v>10</v>
      </c>
      <c r="C73" s="691"/>
      <c r="D73" s="693">
        <v>800</v>
      </c>
      <c r="E73" s="693"/>
      <c r="F73" s="694">
        <f t="shared" si="9"/>
        <v>86.63</v>
      </c>
      <c r="G73" s="694">
        <f t="shared" si="10"/>
        <v>72.02</v>
      </c>
      <c r="H73" s="694">
        <f t="shared" si="11"/>
        <v>158.64999999999998</v>
      </c>
      <c r="I73" s="697"/>
      <c r="J73" s="694">
        <f t="shared" si="12"/>
        <v>88.03</v>
      </c>
      <c r="K73" s="694">
        <f t="shared" si="13"/>
        <v>72.02</v>
      </c>
      <c r="L73" s="694">
        <f t="shared" si="14"/>
        <v>160.05000000000001</v>
      </c>
      <c r="M73" s="697"/>
      <c r="N73" s="694">
        <f t="shared" si="15"/>
        <v>1.4000000000000341</v>
      </c>
      <c r="O73" s="695">
        <f t="shared" si="16"/>
        <v>8.8244563504571976E-3</v>
      </c>
    </row>
    <row r="74" spans="2:15" x14ac:dyDescent="0.2">
      <c r="B74" s="691">
        <f>IF(D74&lt;&gt;"",COUNTA($D$64:D74),"")</f>
        <v>11</v>
      </c>
      <c r="C74" s="691"/>
      <c r="D74" s="693">
        <v>900</v>
      </c>
      <c r="E74" s="693"/>
      <c r="F74" s="694">
        <f t="shared" si="9"/>
        <v>96.73</v>
      </c>
      <c r="G74" s="694">
        <f t="shared" si="10"/>
        <v>81.02</v>
      </c>
      <c r="H74" s="694">
        <f t="shared" si="11"/>
        <v>177.75</v>
      </c>
      <c r="I74" s="697"/>
      <c r="J74" s="694">
        <f t="shared" si="12"/>
        <v>98.3</v>
      </c>
      <c r="K74" s="694">
        <f t="shared" si="13"/>
        <v>81.02</v>
      </c>
      <c r="L74" s="694">
        <f t="shared" si="14"/>
        <v>179.32</v>
      </c>
      <c r="M74" s="697"/>
      <c r="N74" s="694">
        <f t="shared" si="15"/>
        <v>1.5699999999999932</v>
      </c>
      <c r="O74" s="695">
        <f t="shared" si="16"/>
        <v>8.8326300984528441E-3</v>
      </c>
    </row>
    <row r="75" spans="2:15" x14ac:dyDescent="0.2">
      <c r="B75" s="691">
        <f>IF(D75&lt;&gt;"",COUNTA($D$64:D75),"")</f>
        <v>12</v>
      </c>
      <c r="C75" s="691"/>
      <c r="D75" s="693">
        <v>1000</v>
      </c>
      <c r="E75" s="693"/>
      <c r="F75" s="694">
        <f t="shared" si="9"/>
        <v>106.84</v>
      </c>
      <c r="G75" s="694">
        <f t="shared" si="10"/>
        <v>90.03</v>
      </c>
      <c r="H75" s="694">
        <f t="shared" si="11"/>
        <v>196.87</v>
      </c>
      <c r="I75" s="697"/>
      <c r="J75" s="694">
        <f t="shared" si="12"/>
        <v>108.58</v>
      </c>
      <c r="K75" s="694">
        <f t="shared" si="13"/>
        <v>90.03</v>
      </c>
      <c r="L75" s="694">
        <f t="shared" si="14"/>
        <v>198.61</v>
      </c>
      <c r="M75" s="697"/>
      <c r="N75" s="694">
        <f t="shared" si="15"/>
        <v>1.7400000000000091</v>
      </c>
      <c r="O75" s="695">
        <f t="shared" si="16"/>
        <v>8.8383197033575917E-3</v>
      </c>
    </row>
    <row r="76" spans="2:15" x14ac:dyDescent="0.2">
      <c r="B76" s="691">
        <f>IF(D76&lt;&gt;"",COUNTA($D$64:D76),"")</f>
        <v>13</v>
      </c>
      <c r="C76" s="691"/>
      <c r="D76" s="693">
        <v>1250</v>
      </c>
      <c r="E76" s="693"/>
      <c r="F76" s="694">
        <f t="shared" si="9"/>
        <v>132.1</v>
      </c>
      <c r="G76" s="694">
        <f t="shared" si="10"/>
        <v>112.53</v>
      </c>
      <c r="H76" s="694">
        <f t="shared" si="11"/>
        <v>244.63</v>
      </c>
      <c r="I76" s="697"/>
      <c r="J76" s="694">
        <f t="shared" si="12"/>
        <v>134.28</v>
      </c>
      <c r="K76" s="694">
        <f t="shared" si="13"/>
        <v>112.53</v>
      </c>
      <c r="L76" s="694">
        <f t="shared" si="14"/>
        <v>246.81</v>
      </c>
      <c r="M76" s="697"/>
      <c r="N76" s="694">
        <f t="shared" si="15"/>
        <v>2.1800000000000068</v>
      </c>
      <c r="O76" s="695">
        <f t="shared" si="16"/>
        <v>8.9114172423660504E-3</v>
      </c>
    </row>
    <row r="77" spans="2:15" x14ac:dyDescent="0.2">
      <c r="B77" s="691">
        <f>IF(D77&lt;&gt;"",COUNTA($D$64:D77),"")</f>
        <v>14</v>
      </c>
      <c r="C77" s="691"/>
      <c r="D77" s="693">
        <v>1500</v>
      </c>
      <c r="E77" s="693"/>
      <c r="F77" s="694">
        <f t="shared" si="9"/>
        <v>157.35</v>
      </c>
      <c r="G77" s="694">
        <f t="shared" si="10"/>
        <v>135.04</v>
      </c>
      <c r="H77" s="694">
        <f t="shared" si="11"/>
        <v>292.39</v>
      </c>
      <c r="I77" s="697"/>
      <c r="J77" s="694">
        <f t="shared" si="12"/>
        <v>159.97</v>
      </c>
      <c r="K77" s="694">
        <f t="shared" si="13"/>
        <v>135.04</v>
      </c>
      <c r="L77" s="694">
        <f t="shared" si="14"/>
        <v>295.01</v>
      </c>
      <c r="M77" s="697"/>
      <c r="N77" s="694">
        <f t="shared" si="15"/>
        <v>2.6200000000000045</v>
      </c>
      <c r="O77" s="695">
        <f t="shared" si="16"/>
        <v>8.9606347686309543E-3</v>
      </c>
    </row>
    <row r="78" spans="2:15" x14ac:dyDescent="0.2">
      <c r="B78" s="691">
        <f>IF(D78&lt;&gt;"",COUNTA($D$64:D78),"")</f>
        <v>15</v>
      </c>
      <c r="C78" s="691"/>
      <c r="D78" s="693">
        <v>2000</v>
      </c>
      <c r="E78" s="693"/>
      <c r="F78" s="694">
        <f t="shared" si="9"/>
        <v>207.87</v>
      </c>
      <c r="G78" s="694">
        <f t="shared" si="10"/>
        <v>180.06</v>
      </c>
      <c r="H78" s="694">
        <f t="shared" si="11"/>
        <v>387.93</v>
      </c>
      <c r="I78" s="697"/>
      <c r="J78" s="694">
        <f t="shared" si="12"/>
        <v>211.36</v>
      </c>
      <c r="K78" s="694">
        <f t="shared" si="13"/>
        <v>180.06</v>
      </c>
      <c r="L78" s="694">
        <f t="shared" si="14"/>
        <v>391.42</v>
      </c>
      <c r="M78" s="697"/>
      <c r="N78" s="694">
        <f t="shared" si="15"/>
        <v>3.4900000000000091</v>
      </c>
      <c r="O78" s="695">
        <f t="shared" si="16"/>
        <v>8.9964684350269612E-3</v>
      </c>
    </row>
    <row r="79" spans="2:15" x14ac:dyDescent="0.2">
      <c r="B79" s="691">
        <f>IF(D79&lt;&gt;"",COUNTA($D$64:D79),"")</f>
        <v>16</v>
      </c>
      <c r="C79" s="691" t="s">
        <v>627</v>
      </c>
      <c r="D79" s="693">
        <v>475</v>
      </c>
      <c r="E79" s="693"/>
      <c r="F79" s="694">
        <f t="shared" si="9"/>
        <v>53.79</v>
      </c>
      <c r="G79" s="694">
        <f t="shared" si="10"/>
        <v>42.76</v>
      </c>
      <c r="H79" s="694">
        <f t="shared" si="11"/>
        <v>96.55</v>
      </c>
      <c r="I79" s="697"/>
      <c r="J79" s="694">
        <f t="shared" si="12"/>
        <v>54.62</v>
      </c>
      <c r="K79" s="694">
        <f t="shared" si="13"/>
        <v>42.76</v>
      </c>
      <c r="L79" s="694">
        <f t="shared" si="14"/>
        <v>97.38</v>
      </c>
      <c r="M79" s="697"/>
      <c r="N79" s="694">
        <f t="shared" si="15"/>
        <v>0.82999999999999829</v>
      </c>
      <c r="O79" s="695">
        <f t="shared" si="16"/>
        <v>8.5965820818228716E-3</v>
      </c>
    </row>
    <row r="80" spans="2:15" ht="15.75" x14ac:dyDescent="0.25">
      <c r="B80" s="691" t="str">
        <f>IF(D80&lt;&gt;"",COUNTA($D$64:D80),"")</f>
        <v/>
      </c>
      <c r="C80" s="691"/>
      <c r="D80" s="693"/>
      <c r="E80" s="699"/>
      <c r="F80" s="699"/>
      <c r="G80" s="699"/>
      <c r="H80" s="700"/>
      <c r="I80" s="699"/>
      <c r="J80" s="694"/>
      <c r="K80" s="694"/>
      <c r="L80" s="700"/>
      <c r="M80" s="700"/>
      <c r="N80"/>
    </row>
    <row r="81" spans="2:16" ht="15.75" x14ac:dyDescent="0.25">
      <c r="B81" s="691" t="str">
        <f>IF(D81&lt;&gt;"",COUNTA($D$64:D81),"")</f>
        <v/>
      </c>
      <c r="C81" s="691"/>
      <c r="D81" s="698"/>
      <c r="E81" s="699"/>
      <c r="F81" s="699"/>
      <c r="G81" s="699"/>
      <c r="H81" s="700"/>
      <c r="I81" s="699"/>
      <c r="J81" s="699"/>
      <c r="K81" s="699"/>
      <c r="L81" s="700"/>
      <c r="M81" s="700"/>
      <c r="N81"/>
    </row>
    <row r="82" spans="2:16" ht="15.75" x14ac:dyDescent="0.25">
      <c r="B82" s="691">
        <f>IF(D82&lt;&gt;"",COUNTA($D$64:D82),"")</f>
        <v>17</v>
      </c>
      <c r="C82" s="691"/>
      <c r="D82" s="701" t="s">
        <v>27</v>
      </c>
      <c r="E82" s="697"/>
      <c r="F82" s="697"/>
      <c r="G82" s="746" t="str">
        <f>$G$28</f>
        <v>2024 Without CVEO</v>
      </c>
      <c r="H82" s="746" t="str">
        <f>$H$28</f>
        <v>2024 With CVEO</v>
      </c>
      <c r="J82" s="773"/>
      <c r="K82" s="697"/>
      <c r="L82" s="697"/>
      <c r="M82" s="697"/>
      <c r="N82"/>
    </row>
    <row r="83" spans="2:16" ht="15.75" x14ac:dyDescent="0.25">
      <c r="B83" s="691">
        <f>IF(D83&lt;&gt;"",COUNTA($D$64:D83),"")</f>
        <v>18</v>
      </c>
      <c r="C83" s="691"/>
      <c r="D83" s="701" t="s">
        <v>27</v>
      </c>
      <c r="E83" s="697"/>
      <c r="F83" s="697"/>
      <c r="G83" s="774" t="s">
        <v>162</v>
      </c>
      <c r="H83" s="774" t="s">
        <v>162</v>
      </c>
      <c r="J83" s="774" t="s">
        <v>626</v>
      </c>
      <c r="K83" s="697"/>
      <c r="L83" s="697"/>
      <c r="M83" s="697"/>
      <c r="N83"/>
    </row>
    <row r="84" spans="2:16" ht="15.75" x14ac:dyDescent="0.25">
      <c r="B84" s="691">
        <f>IF(D84&lt;&gt;"",COUNTA($D$64:D84),"")</f>
        <v>19</v>
      </c>
      <c r="C84" s="691"/>
      <c r="D84" s="690" t="s">
        <v>141</v>
      </c>
      <c r="E84" s="697"/>
      <c r="F84" s="697"/>
      <c r="G84" s="705">
        <v>10</v>
      </c>
      <c r="H84" s="705">
        <v>10</v>
      </c>
      <c r="J84" s="705">
        <f t="shared" ref="J84:J109" si="17">+H84-G84</f>
        <v>0</v>
      </c>
      <c r="K84" s="697"/>
      <c r="L84" s="697"/>
      <c r="M84" s="697"/>
      <c r="N84"/>
    </row>
    <row r="85" spans="2:16" ht="15.75" x14ac:dyDescent="0.25">
      <c r="B85" s="691">
        <f>IF(D85&lt;&gt;"",COUNTA($D$64:D85),"")</f>
        <v>20</v>
      </c>
      <c r="C85" s="691"/>
      <c r="D85" s="690" t="s">
        <v>628</v>
      </c>
      <c r="E85" s="697"/>
      <c r="F85" s="697"/>
      <c r="G85" s="709">
        <v>5.9089999999999997E-2</v>
      </c>
      <c r="H85" s="709">
        <v>5.9089999999999997E-2</v>
      </c>
      <c r="J85" s="709">
        <f t="shared" si="17"/>
        <v>0</v>
      </c>
      <c r="K85" s="697"/>
      <c r="L85" s="697"/>
      <c r="M85" s="697"/>
      <c r="N85"/>
    </row>
    <row r="86" spans="2:16" ht="15.75" x14ac:dyDescent="0.25">
      <c r="B86" s="691">
        <f>IF(D86&lt;&gt;"",COUNTA($D$64:D86),"")</f>
        <v>21</v>
      </c>
      <c r="C86" s="691"/>
      <c r="D86" s="690" t="s">
        <v>629</v>
      </c>
      <c r="E86" s="697"/>
      <c r="F86" s="697"/>
      <c r="G86" s="709">
        <v>1.01E-3</v>
      </c>
      <c r="H86" s="709">
        <v>1.01E-3</v>
      </c>
      <c r="J86" s="709">
        <f t="shared" si="17"/>
        <v>0</v>
      </c>
      <c r="K86" s="697"/>
      <c r="L86" s="697"/>
      <c r="M86" s="697"/>
      <c r="N86"/>
    </row>
    <row r="87" spans="2:16" ht="15.75" x14ac:dyDescent="0.25">
      <c r="B87" s="691">
        <f>IF(D87&lt;&gt;"",COUNTA($D$64:D87),"")</f>
        <v>22</v>
      </c>
      <c r="C87" s="691"/>
      <c r="D87" s="690" t="s">
        <v>630</v>
      </c>
      <c r="E87" s="697"/>
      <c r="F87" s="697"/>
      <c r="G87" s="709">
        <v>6.0000000000000002E-5</v>
      </c>
      <c r="H87" s="709">
        <v>6.0000000000000002E-5</v>
      </c>
      <c r="J87" s="709">
        <f t="shared" si="17"/>
        <v>0</v>
      </c>
      <c r="K87" s="697"/>
      <c r="L87" s="697"/>
      <c r="M87" s="697"/>
      <c r="N87"/>
    </row>
    <row r="88" spans="2:16" ht="15.75" x14ac:dyDescent="0.25">
      <c r="B88" s="691">
        <f>IF(D88&lt;&gt;"",COUNTA($D$64:D88),"")</f>
        <v>23</v>
      </c>
      <c r="C88" s="691"/>
      <c r="D88" s="708" t="s">
        <v>631</v>
      </c>
      <c r="E88" s="697"/>
      <c r="F88" s="697"/>
      <c r="G88" s="709">
        <v>8.0000000000000002E-3</v>
      </c>
      <c r="H88" s="709">
        <v>8.0000000000000002E-3</v>
      </c>
      <c r="J88" s="709">
        <f t="shared" si="17"/>
        <v>0</v>
      </c>
      <c r="K88" s="697"/>
      <c r="L88" s="697"/>
      <c r="M88" s="697"/>
      <c r="N88"/>
      <c r="P88" s="687" t="s">
        <v>27</v>
      </c>
    </row>
    <row r="89" spans="2:16" ht="15.75" x14ac:dyDescent="0.25">
      <c r="B89" s="691">
        <f>IF(D89&lt;&gt;"",COUNTA($D$64:D89),"")</f>
        <v>24</v>
      </c>
      <c r="C89" s="691"/>
      <c r="D89" s="690" t="s">
        <v>632</v>
      </c>
      <c r="E89" s="697"/>
      <c r="F89" s="697"/>
      <c r="G89" s="709">
        <v>8.1600000000000006E-3</v>
      </c>
      <c r="H89" s="709">
        <v>8.1600000000000006E-3</v>
      </c>
      <c r="J89" s="709">
        <f t="shared" si="17"/>
        <v>0</v>
      </c>
      <c r="K89" s="697"/>
      <c r="L89" s="697"/>
      <c r="M89" s="697"/>
      <c r="N89"/>
    </row>
    <row r="90" spans="2:16" ht="15.75" x14ac:dyDescent="0.25">
      <c r="B90" s="691">
        <f>IF(D90&lt;&gt;"",COUNTA($D$64:D90),"")</f>
        <v>25</v>
      </c>
      <c r="C90" s="691"/>
      <c r="D90" s="690" t="s">
        <v>633</v>
      </c>
      <c r="E90" s="697"/>
      <c r="F90" s="697"/>
      <c r="G90" s="709">
        <v>8.5999999999999998E-4</v>
      </c>
      <c r="H90" s="709">
        <v>8.5999999999999998E-4</v>
      </c>
      <c r="J90" s="709">
        <f t="shared" si="17"/>
        <v>0</v>
      </c>
      <c r="K90" s="697"/>
      <c r="L90" s="697"/>
      <c r="M90" s="697"/>
      <c r="N90"/>
    </row>
    <row r="91" spans="2:16" ht="15.75" x14ac:dyDescent="0.25">
      <c r="B91" s="691">
        <f>IF(D91&lt;&gt;"",COUNTA($D$64:D91),"")</f>
        <v>26</v>
      </c>
      <c r="C91" s="691"/>
      <c r="D91" s="690" t="s">
        <v>634</v>
      </c>
      <c r="E91" s="697"/>
      <c r="F91" s="697"/>
      <c r="G91" s="709">
        <v>1.6219999999999998E-2</v>
      </c>
      <c r="H91" s="709">
        <v>1.6219999999999998E-2</v>
      </c>
      <c r="J91" s="709">
        <f t="shared" si="17"/>
        <v>0</v>
      </c>
      <c r="K91" s="697"/>
      <c r="L91" s="697"/>
      <c r="M91" s="697"/>
      <c r="N91"/>
    </row>
    <row r="92" spans="2:16" ht="15.75" x14ac:dyDescent="0.25">
      <c r="B92" s="691">
        <f>IF(D92&lt;&gt;"",COUNTA($D$64:D92),"")</f>
        <v>27</v>
      </c>
      <c r="C92" s="691"/>
      <c r="D92" s="690" t="s">
        <v>635</v>
      </c>
      <c r="E92" s="697"/>
      <c r="F92" s="697"/>
      <c r="G92" s="709">
        <v>-1.9300000000000001E-3</v>
      </c>
      <c r="H92" s="709">
        <v>-1.9300000000000001E-3</v>
      </c>
      <c r="J92" s="709">
        <f t="shared" si="17"/>
        <v>0</v>
      </c>
      <c r="K92" s="697"/>
      <c r="L92" s="697"/>
      <c r="M92" s="697"/>
      <c r="N92"/>
    </row>
    <row r="93" spans="2:16" ht="15.75" x14ac:dyDescent="0.25">
      <c r="B93" s="691">
        <f>IF(D93&lt;&gt;"",COUNTA($D$64:D93),"")</f>
        <v>28</v>
      </c>
      <c r="C93" s="691"/>
      <c r="D93" s="690" t="s">
        <v>636</v>
      </c>
      <c r="E93" s="697"/>
      <c r="F93" s="697"/>
      <c r="G93" s="709">
        <v>5.0000000000000002E-5</v>
      </c>
      <c r="H93" s="709">
        <v>5.0000000000000002E-5</v>
      </c>
      <c r="J93" s="709">
        <f t="shared" si="17"/>
        <v>0</v>
      </c>
      <c r="K93" s="697"/>
      <c r="L93" s="697"/>
      <c r="M93" s="697"/>
      <c r="N93"/>
    </row>
    <row r="94" spans="2:16" ht="15.75" x14ac:dyDescent="0.25">
      <c r="B94" s="691">
        <f>IF(D94&lt;&gt;"",COUNTA($D$64:D94),"")</f>
        <v>29</v>
      </c>
      <c r="C94" s="691"/>
      <c r="D94" s="690" t="s">
        <v>637</v>
      </c>
      <c r="E94" s="697"/>
      <c r="F94" s="697"/>
      <c r="G94" s="709">
        <v>6.6299999999999996E-3</v>
      </c>
      <c r="H94" s="709">
        <v>6.6299999999999996E-3</v>
      </c>
      <c r="J94" s="709">
        <f t="shared" si="17"/>
        <v>0</v>
      </c>
      <c r="K94" s="697"/>
      <c r="L94" s="697"/>
      <c r="M94" s="697"/>
      <c r="N94"/>
    </row>
    <row r="95" spans="2:16" ht="15.75" x14ac:dyDescent="0.25">
      <c r="B95" s="691">
        <f>IF(D95&lt;&gt;"",COUNTA($D$64:D95),"")</f>
        <v>30</v>
      </c>
      <c r="C95" s="691"/>
      <c r="D95" s="690" t="s">
        <v>638</v>
      </c>
      <c r="E95" s="697"/>
      <c r="F95" s="697"/>
      <c r="G95" s="709">
        <v>0</v>
      </c>
      <c r="H95" s="709">
        <v>0</v>
      </c>
      <c r="J95" s="709">
        <f t="shared" si="17"/>
        <v>0</v>
      </c>
      <c r="K95" s="697"/>
      <c r="L95" s="697"/>
      <c r="M95" s="697"/>
      <c r="N95"/>
    </row>
    <row r="96" spans="2:16" ht="15.75" x14ac:dyDescent="0.25">
      <c r="B96" s="691">
        <f>IF(D96&lt;&gt;"",COUNTA($D$64:D96),"")</f>
        <v>31</v>
      </c>
      <c r="C96" s="691"/>
      <c r="D96" s="690" t="s">
        <v>639</v>
      </c>
      <c r="E96" s="697"/>
      <c r="F96" s="697"/>
      <c r="G96" s="709">
        <v>-4.6000000000000001E-4</v>
      </c>
      <c r="H96" s="709">
        <v>-4.6000000000000001E-4</v>
      </c>
      <c r="J96" s="709">
        <f t="shared" si="17"/>
        <v>0</v>
      </c>
      <c r="K96" s="697"/>
      <c r="L96" s="697"/>
      <c r="M96" s="697"/>
      <c r="N96"/>
    </row>
    <row r="97" spans="2:15" ht="15.75" x14ac:dyDescent="0.25">
      <c r="B97" s="691">
        <f>IF(D97&lt;&gt;"",COUNTA($D$64:D97),"")</f>
        <v>32</v>
      </c>
      <c r="C97" s="691"/>
      <c r="D97" s="690" t="s">
        <v>640</v>
      </c>
      <c r="E97" s="697"/>
      <c r="F97" s="697"/>
      <c r="G97" s="709">
        <v>2.0000000000000002E-5</v>
      </c>
      <c r="H97" s="709">
        <v>2.0000000000000002E-5</v>
      </c>
      <c r="J97" s="709">
        <f t="shared" si="17"/>
        <v>0</v>
      </c>
      <c r="K97" s="697"/>
      <c r="L97" s="697"/>
      <c r="M97" s="697"/>
      <c r="N97"/>
    </row>
    <row r="98" spans="2:15" ht="15.75" x14ac:dyDescent="0.25">
      <c r="B98" s="691">
        <f>IF(D98&lt;&gt;"",COUNTA($D$64:D98),"")</f>
        <v>33</v>
      </c>
      <c r="C98" s="691"/>
      <c r="D98" s="690" t="s">
        <v>641</v>
      </c>
      <c r="E98" s="697"/>
      <c r="F98" s="697"/>
      <c r="G98" s="709">
        <v>-5.1000000000000004E-4</v>
      </c>
      <c r="H98" s="709">
        <v>-5.1000000000000004E-4</v>
      </c>
      <c r="J98" s="709">
        <f t="shared" si="17"/>
        <v>0</v>
      </c>
      <c r="K98" s="697"/>
      <c r="L98" s="697"/>
      <c r="M98" s="697"/>
      <c r="N98"/>
    </row>
    <row r="99" spans="2:15" ht="15.75" x14ac:dyDescent="0.25">
      <c r="B99" s="691">
        <f>IF(D99&lt;&gt;"",COUNTA($D$64:D99),"")</f>
        <v>34</v>
      </c>
      <c r="C99" s="691"/>
      <c r="D99" s="690" t="s">
        <v>642</v>
      </c>
      <c r="E99" s="697"/>
      <c r="F99" s="697"/>
      <c r="G99" s="709">
        <v>1.9300000000000001E-3</v>
      </c>
      <c r="H99" s="709">
        <v>1.9300000000000001E-3</v>
      </c>
      <c r="J99" s="709">
        <f t="shared" si="17"/>
        <v>0</v>
      </c>
      <c r="K99" s="697"/>
      <c r="L99" s="697"/>
      <c r="M99" s="697"/>
      <c r="N99"/>
    </row>
    <row r="100" spans="2:15" ht="15.75" x14ac:dyDescent="0.25">
      <c r="B100" s="691">
        <f>IF(D100&lt;&gt;"",COUNTA($D$64:D100),"")</f>
        <v>35</v>
      </c>
      <c r="C100" s="691"/>
      <c r="D100" s="690" t="s">
        <v>643</v>
      </c>
      <c r="E100" s="697"/>
      <c r="F100" s="697"/>
      <c r="G100" s="709">
        <v>-1.8E-3</v>
      </c>
      <c r="H100" s="709">
        <v>-1.8E-3</v>
      </c>
      <c r="J100" s="709">
        <f t="shared" si="17"/>
        <v>0</v>
      </c>
      <c r="K100" s="697"/>
      <c r="L100" s="697"/>
      <c r="M100" s="697"/>
      <c r="N100"/>
    </row>
    <row r="101" spans="2:15" ht="15.75" x14ac:dyDescent="0.25">
      <c r="B101" s="691">
        <f>IF(D101&lt;&gt;"",COUNTA($D$64:D101),"")</f>
        <v>36</v>
      </c>
      <c r="C101" s="691"/>
      <c r="D101" s="690" t="s">
        <v>644</v>
      </c>
      <c r="E101" s="697"/>
      <c r="F101" s="697"/>
      <c r="G101" s="709">
        <v>1.89E-3</v>
      </c>
      <c r="H101" s="709">
        <v>1.89E-3</v>
      </c>
      <c r="J101" s="709">
        <f t="shared" si="17"/>
        <v>0</v>
      </c>
      <c r="K101" s="697"/>
      <c r="L101" s="697"/>
      <c r="M101" s="697"/>
      <c r="N101"/>
    </row>
    <row r="102" spans="2:15" ht="15.75" x14ac:dyDescent="0.25">
      <c r="B102" s="691">
        <f>IF(D102&lt;&gt;"",COUNTA($D$64:D102),"")</f>
        <v>37</v>
      </c>
      <c r="C102" s="691"/>
      <c r="D102" s="690" t="s">
        <v>645</v>
      </c>
      <c r="E102" s="697"/>
      <c r="F102" s="697"/>
      <c r="G102" s="709">
        <v>3.1800000000000001E-3</v>
      </c>
      <c r="H102" s="709">
        <v>3.1800000000000001E-3</v>
      </c>
      <c r="J102" s="709">
        <f t="shared" si="17"/>
        <v>0</v>
      </c>
      <c r="K102" s="697"/>
      <c r="L102" s="697"/>
      <c r="M102" s="697"/>
      <c r="N102"/>
    </row>
    <row r="103" spans="2:15" ht="15.75" x14ac:dyDescent="0.25">
      <c r="B103" s="691">
        <f>IF(D103&lt;&gt;"",COUNTA($D$64:D103),"")</f>
        <v>38</v>
      </c>
      <c r="C103" s="691"/>
      <c r="D103" s="690" t="s">
        <v>646</v>
      </c>
      <c r="E103" s="697"/>
      <c r="F103" s="697"/>
      <c r="G103" s="709">
        <v>-3.6999999999999999E-4</v>
      </c>
      <c r="H103" s="709">
        <v>-3.6999999999999999E-4</v>
      </c>
      <c r="J103" s="709">
        <f t="shared" si="17"/>
        <v>0</v>
      </c>
      <c r="K103" s="697"/>
      <c r="L103" s="697"/>
      <c r="M103" s="697"/>
      <c r="N103"/>
    </row>
    <row r="104" spans="2:15" ht="15.75" x14ac:dyDescent="0.25">
      <c r="B104" s="691">
        <f>IF(D104&lt;&gt;"",COUNTA($D$64:D104),"")</f>
        <v>39</v>
      </c>
      <c r="C104" s="691"/>
      <c r="D104" s="690" t="s">
        <v>647</v>
      </c>
      <c r="E104" s="697"/>
      <c r="F104" s="697"/>
      <c r="G104" s="709">
        <v>4.052E-2</v>
      </c>
      <c r="H104" s="709">
        <v>4.052E-2</v>
      </c>
      <c r="J104" s="709">
        <f t="shared" si="17"/>
        <v>0</v>
      </c>
      <c r="K104" s="697"/>
      <c r="L104" s="697"/>
      <c r="M104" s="697"/>
      <c r="N104"/>
    </row>
    <row r="105" spans="2:15" ht="15.75" x14ac:dyDescent="0.25">
      <c r="B105" s="691">
        <f>IF(D105&lt;&gt;"",COUNTA($D$64:D105),"")</f>
        <v>40</v>
      </c>
      <c r="C105" s="691"/>
      <c r="D105" s="690" t="s">
        <v>648</v>
      </c>
      <c r="E105" s="697"/>
      <c r="F105" s="697"/>
      <c r="G105" s="709">
        <f>EES!$E$22</f>
        <v>2.8649999999999998E-2</v>
      </c>
      <c r="H105" s="709">
        <f>EES!$I$22</f>
        <v>3.1660000000000001E-2</v>
      </c>
      <c r="J105" s="709">
        <f t="shared" si="17"/>
        <v>3.0100000000000023E-3</v>
      </c>
      <c r="K105" s="697"/>
      <c r="L105" s="697"/>
      <c r="M105" s="697"/>
      <c r="N105"/>
    </row>
    <row r="106" spans="2:15" ht="15.75" x14ac:dyDescent="0.25">
      <c r="B106" s="691">
        <f>IF(D106&lt;&gt;"",COUNTA($D$64:D106),"")</f>
        <v>41</v>
      </c>
      <c r="C106" s="691"/>
      <c r="D106" s="690" t="s">
        <v>649</v>
      </c>
      <c r="E106" s="697"/>
      <c r="F106" s="697"/>
      <c r="G106" s="709">
        <v>2.5000000000000001E-3</v>
      </c>
      <c r="H106" s="709">
        <v>2.5000000000000001E-3</v>
      </c>
      <c r="J106" s="709">
        <f t="shared" si="17"/>
        <v>0</v>
      </c>
      <c r="K106" s="697"/>
      <c r="L106" s="697"/>
      <c r="M106" s="697"/>
      <c r="N106"/>
    </row>
    <row r="107" spans="2:15" ht="15.75" x14ac:dyDescent="0.25">
      <c r="B107" s="691">
        <f>IF(D107&lt;&gt;"",COUNTA($D$64:D107),"")</f>
        <v>42</v>
      </c>
      <c r="C107" s="691"/>
      <c r="D107" s="690" t="s">
        <v>650</v>
      </c>
      <c r="E107" s="697"/>
      <c r="F107" s="697"/>
      <c r="G107" s="709">
        <v>5.0000000000000001E-4</v>
      </c>
      <c r="H107" s="709">
        <v>5.0000000000000001E-4</v>
      </c>
      <c r="J107" s="709">
        <f t="shared" si="17"/>
        <v>0</v>
      </c>
      <c r="K107" s="697"/>
      <c r="L107" s="697"/>
      <c r="M107" s="697"/>
      <c r="N107"/>
    </row>
    <row r="108" spans="2:15" ht="15.75" x14ac:dyDescent="0.25">
      <c r="B108" s="691">
        <f>IF(D108&lt;&gt;"",COUNTA($D$64:D108),"")</f>
        <v>43</v>
      </c>
      <c r="C108" s="691"/>
      <c r="D108" s="708" t="s">
        <v>651</v>
      </c>
      <c r="E108" s="697"/>
      <c r="F108" s="697"/>
      <c r="G108" s="709">
        <v>0.15522</v>
      </c>
      <c r="H108" s="709">
        <v>0.15522</v>
      </c>
      <c r="J108" s="709">
        <f t="shared" si="17"/>
        <v>0</v>
      </c>
      <c r="K108" s="697"/>
      <c r="L108" s="697"/>
      <c r="M108" s="697"/>
      <c r="N108"/>
    </row>
    <row r="109" spans="2:15" ht="15.75" x14ac:dyDescent="0.25">
      <c r="B109" s="691">
        <f>IF(D109&lt;&gt;"",COUNTA($D$64:D109),"")</f>
        <v>44</v>
      </c>
      <c r="C109" s="691"/>
      <c r="D109" s="690" t="s">
        <v>652</v>
      </c>
      <c r="E109" s="697"/>
      <c r="F109" s="697"/>
      <c r="G109" s="776">
        <v>0.42</v>
      </c>
      <c r="H109" s="776">
        <v>0.42</v>
      </c>
      <c r="J109" s="776">
        <f t="shared" si="17"/>
        <v>0</v>
      </c>
      <c r="K109" s="697"/>
      <c r="L109" s="697"/>
      <c r="M109" s="697"/>
      <c r="N109"/>
    </row>
    <row r="112" spans="2:15" ht="15.75" x14ac:dyDescent="0.25">
      <c r="B112" s="1070" t="str">
        <f>$B$3</f>
        <v>Cape Light Compact JPE</v>
      </c>
      <c r="C112" s="1070"/>
      <c r="D112" s="1070"/>
      <c r="E112" s="1070"/>
      <c r="F112" s="1070"/>
      <c r="G112" s="1070"/>
      <c r="H112" s="1070"/>
      <c r="I112" s="1070"/>
      <c r="J112" s="1070"/>
      <c r="K112" s="1070"/>
      <c r="L112" s="1070"/>
      <c r="M112" s="1070"/>
      <c r="N112" s="1070"/>
      <c r="O112" s="1070"/>
    </row>
    <row r="113" spans="2:15" ht="15.75" x14ac:dyDescent="0.25">
      <c r="B113" s="1070" t="str">
        <f>$B$4</f>
        <v>Calculation of Monthly Typical Bill</v>
      </c>
      <c r="C113" s="1070"/>
      <c r="D113" s="1070"/>
      <c r="E113" s="1070"/>
      <c r="F113" s="1070"/>
      <c r="G113" s="1070"/>
      <c r="H113" s="1070"/>
      <c r="I113" s="1070"/>
      <c r="J113" s="1070"/>
      <c r="K113" s="1070"/>
      <c r="L113" s="1070"/>
      <c r="M113" s="1070"/>
      <c r="N113" s="1070"/>
      <c r="O113" s="1070"/>
    </row>
    <row r="114" spans="2:15" ht="15.75" x14ac:dyDescent="0.25">
      <c r="B114" s="1070" t="str">
        <f>$B$5</f>
        <v>Illustrative 2024 EES Rates</v>
      </c>
      <c r="C114" s="1070"/>
      <c r="D114" s="1070"/>
      <c r="E114" s="1070"/>
      <c r="F114" s="1070"/>
      <c r="G114" s="1070"/>
      <c r="H114" s="1070"/>
      <c r="I114" s="1070"/>
      <c r="J114" s="1070"/>
      <c r="K114" s="1070"/>
      <c r="L114" s="1070"/>
      <c r="M114" s="1070"/>
      <c r="N114" s="1070"/>
      <c r="O114" s="1070"/>
    </row>
    <row r="115" spans="2:15" ht="15.75" x14ac:dyDescent="0.25">
      <c r="B115" s="688"/>
      <c r="C115" s="688"/>
      <c r="D115" s="688"/>
      <c r="E115" s="688"/>
      <c r="F115" s="688"/>
      <c r="G115" s="688"/>
      <c r="H115" s="688"/>
      <c r="I115" s="688"/>
      <c r="J115" s="688"/>
      <c r="K115" s="688"/>
      <c r="L115" s="688"/>
      <c r="M115" s="688"/>
      <c r="N115" s="688"/>
    </row>
    <row r="116" spans="2:15" ht="15.75" x14ac:dyDescent="0.25">
      <c r="B116" s="1065" t="s">
        <v>600</v>
      </c>
      <c r="C116" s="1065"/>
      <c r="D116" s="1065"/>
      <c r="E116" s="1065"/>
      <c r="F116" s="1065"/>
      <c r="G116" s="1065"/>
      <c r="H116" s="1065"/>
      <c r="I116" s="1065"/>
      <c r="J116" s="1065"/>
      <c r="K116" s="1065"/>
      <c r="L116" s="1065"/>
      <c r="M116" s="1065"/>
      <c r="N116" s="1065"/>
      <c r="O116" s="1065"/>
    </row>
    <row r="117" spans="2:15" ht="15.75" x14ac:dyDescent="0.25">
      <c r="B117" s="689"/>
      <c r="C117" s="689"/>
      <c r="D117" s="690"/>
      <c r="E117" s="690"/>
      <c r="F117" s="690"/>
      <c r="G117" s="765"/>
      <c r="H117" s="690"/>
      <c r="I117"/>
      <c r="J117"/>
      <c r="K117"/>
      <c r="L117"/>
      <c r="M117"/>
      <c r="N117"/>
    </row>
    <row r="118" spans="2:15" ht="15.75" x14ac:dyDescent="0.25">
      <c r="B118" s="689"/>
      <c r="C118" s="689"/>
      <c r="D118" s="690"/>
      <c r="E118" s="690"/>
      <c r="F118" s="690"/>
      <c r="G118" s="766"/>
      <c r="H118" s="690"/>
      <c r="I118"/>
      <c r="J118"/>
      <c r="K118"/>
      <c r="L118"/>
      <c r="M118"/>
      <c r="N118"/>
    </row>
    <row r="119" spans="2:15" ht="15.75" x14ac:dyDescent="0.25">
      <c r="B119" s="691">
        <f>IF(D119&lt;&gt;"",COUNTA($D$119:D119),"")</f>
        <v>1</v>
      </c>
      <c r="C119" s="691"/>
      <c r="D119" s="689" t="s">
        <v>12</v>
      </c>
      <c r="E119" s="689"/>
      <c r="F119" s="1067" t="str">
        <f>$F$10</f>
        <v>2024 Without CVEO</v>
      </c>
      <c r="G119" s="1067"/>
      <c r="H119" s="1067"/>
      <c r="I119" s="690"/>
      <c r="J119" s="1067" t="str">
        <f>$J$10</f>
        <v>2024 With CVEO</v>
      </c>
      <c r="K119" s="1068"/>
      <c r="L119" s="1068"/>
      <c r="M119"/>
      <c r="N119" s="1068" t="str">
        <f>$N$10</f>
        <v>Total Bill Impact</v>
      </c>
      <c r="O119" s="1068"/>
    </row>
    <row r="120" spans="2:15" ht="15.75" x14ac:dyDescent="0.25">
      <c r="B120" s="691">
        <f>IF(D120&lt;&gt;"",COUNTA($D$119:D120),"")</f>
        <v>2</v>
      </c>
      <c r="C120" s="691"/>
      <c r="D120" s="692" t="s">
        <v>158</v>
      </c>
      <c r="E120" s="692"/>
      <c r="F120" s="692" t="str">
        <f>F$11</f>
        <v>Delivery</v>
      </c>
      <c r="G120" s="692" t="str">
        <f>G$11</f>
        <v>Supplier</v>
      </c>
      <c r="H120" s="692" t="str">
        <f>H$11</f>
        <v>Total</v>
      </c>
      <c r="I120" s="690"/>
      <c r="J120" s="692" t="str">
        <f>J$11</f>
        <v>Delivery</v>
      </c>
      <c r="K120" s="692" t="str">
        <f>K$11</f>
        <v>Supplier</v>
      </c>
      <c r="L120" s="692" t="str">
        <f>L$11</f>
        <v>Total</v>
      </c>
      <c r="M120"/>
      <c r="N120" s="692" t="str">
        <f>N$11</f>
        <v>Change</v>
      </c>
      <c r="O120" s="692" t="str">
        <f>O$11</f>
        <v>% Change</v>
      </c>
    </row>
    <row r="121" spans="2:15" x14ac:dyDescent="0.2">
      <c r="B121" s="691">
        <f>IF(D121&lt;&gt;"",COUNTA($D$119:D121),"")</f>
        <v>3</v>
      </c>
      <c r="C121" s="691"/>
      <c r="D121" s="693">
        <v>100</v>
      </c>
      <c r="E121" s="693"/>
      <c r="F121" s="694">
        <f t="shared" ref="F121:F134" si="18">ROUND($D121*(SUM($G$140:$G$162))+$G$139,2)</f>
        <v>26.81</v>
      </c>
      <c r="G121" s="694">
        <f t="shared" ref="G121:G134" si="19">ROUND($G$163*D121,2)</f>
        <v>15.52</v>
      </c>
      <c r="H121" s="694">
        <f t="shared" ref="H121:H134" si="20">SUM(F121:G121)</f>
        <v>42.33</v>
      </c>
      <c r="I121" s="697"/>
      <c r="J121" s="694">
        <f t="shared" ref="J121:J134" si="21">ROUND($D121*(SUM($H$140:$H$162))+$H$139,2)</f>
        <v>27.11</v>
      </c>
      <c r="K121" s="694">
        <f t="shared" ref="K121:K134" si="22">ROUND($H$163*D121,2)</f>
        <v>15.52</v>
      </c>
      <c r="L121" s="694">
        <f t="shared" ref="L121:L134" si="23">SUM(J121:K121)</f>
        <v>42.629999999999995</v>
      </c>
      <c r="M121" s="697"/>
      <c r="N121" s="694">
        <f t="shared" ref="N121:N134" si="24">+L121-H121</f>
        <v>0.29999999999999716</v>
      </c>
      <c r="O121" s="695">
        <f t="shared" ref="O121:O134" si="25">+N121/H121</f>
        <v>7.0871722182848373E-3</v>
      </c>
    </row>
    <row r="122" spans="2:15" x14ac:dyDescent="0.2">
      <c r="B122" s="691">
        <f>IF(D122&lt;&gt;"",COUNTA($D$119:D122),"")</f>
        <v>4</v>
      </c>
      <c r="C122" s="691"/>
      <c r="D122" s="693">
        <v>200</v>
      </c>
      <c r="E122" s="693"/>
      <c r="F122" s="694">
        <f t="shared" si="18"/>
        <v>43.61</v>
      </c>
      <c r="G122" s="694">
        <f t="shared" si="19"/>
        <v>31.04</v>
      </c>
      <c r="H122" s="694">
        <f t="shared" si="20"/>
        <v>74.650000000000006</v>
      </c>
      <c r="I122" s="697"/>
      <c r="J122" s="694">
        <f t="shared" si="21"/>
        <v>44.22</v>
      </c>
      <c r="K122" s="694">
        <f t="shared" si="22"/>
        <v>31.04</v>
      </c>
      <c r="L122" s="694">
        <f t="shared" si="23"/>
        <v>75.259999999999991</v>
      </c>
      <c r="M122" s="697"/>
      <c r="N122" s="694">
        <f t="shared" si="24"/>
        <v>0.60999999999998522</v>
      </c>
      <c r="O122" s="695">
        <f t="shared" si="25"/>
        <v>8.1714668452777649E-3</v>
      </c>
    </row>
    <row r="123" spans="2:15" x14ac:dyDescent="0.2">
      <c r="B123" s="691">
        <f>IF(D123&lt;&gt;"",COUNTA($D$119:D123),"")</f>
        <v>5</v>
      </c>
      <c r="C123" s="691"/>
      <c r="D123" s="693">
        <v>300</v>
      </c>
      <c r="E123" s="693"/>
      <c r="F123" s="694">
        <f t="shared" si="18"/>
        <v>60.42</v>
      </c>
      <c r="G123" s="694">
        <f t="shared" si="19"/>
        <v>46.57</v>
      </c>
      <c r="H123" s="694">
        <f t="shared" si="20"/>
        <v>106.99000000000001</v>
      </c>
      <c r="I123" s="697"/>
      <c r="J123" s="694">
        <f t="shared" si="21"/>
        <v>61.32</v>
      </c>
      <c r="K123" s="694">
        <f t="shared" si="22"/>
        <v>46.57</v>
      </c>
      <c r="L123" s="694">
        <f t="shared" si="23"/>
        <v>107.89</v>
      </c>
      <c r="M123" s="697"/>
      <c r="N123" s="694">
        <f t="shared" si="24"/>
        <v>0.89999999999999147</v>
      </c>
      <c r="O123" s="695">
        <f t="shared" si="25"/>
        <v>8.4120011216000691E-3</v>
      </c>
    </row>
    <row r="124" spans="2:15" x14ac:dyDescent="0.2">
      <c r="B124" s="691">
        <f>IF(D124&lt;&gt;"",COUNTA($D$119:D124),"")</f>
        <v>6</v>
      </c>
      <c r="C124" s="691"/>
      <c r="D124" s="693">
        <v>400</v>
      </c>
      <c r="E124" s="693"/>
      <c r="F124" s="694">
        <f t="shared" si="18"/>
        <v>77.23</v>
      </c>
      <c r="G124" s="694">
        <f t="shared" si="19"/>
        <v>62.09</v>
      </c>
      <c r="H124" s="694">
        <f t="shared" si="20"/>
        <v>139.32</v>
      </c>
      <c r="I124" s="697"/>
      <c r="J124" s="694">
        <f t="shared" si="21"/>
        <v>78.430000000000007</v>
      </c>
      <c r="K124" s="694">
        <f t="shared" si="22"/>
        <v>62.09</v>
      </c>
      <c r="L124" s="694">
        <f t="shared" si="23"/>
        <v>140.52000000000001</v>
      </c>
      <c r="M124" s="697"/>
      <c r="N124" s="694">
        <f t="shared" si="24"/>
        <v>1.2000000000000171</v>
      </c>
      <c r="O124" s="695">
        <f t="shared" si="25"/>
        <v>8.6132644272180377E-3</v>
      </c>
    </row>
    <row r="125" spans="2:15" x14ac:dyDescent="0.2">
      <c r="B125" s="691">
        <f>IF(D125&lt;&gt;"",COUNTA($D$119:D125),"")</f>
        <v>7</v>
      </c>
      <c r="C125" s="691"/>
      <c r="D125" s="693">
        <v>500</v>
      </c>
      <c r="E125" s="693"/>
      <c r="F125" s="694">
        <f t="shared" si="18"/>
        <v>94.04</v>
      </c>
      <c r="G125" s="694">
        <f t="shared" si="19"/>
        <v>77.61</v>
      </c>
      <c r="H125" s="694">
        <f t="shared" si="20"/>
        <v>171.65</v>
      </c>
      <c r="I125" s="697"/>
      <c r="J125" s="694">
        <f t="shared" si="21"/>
        <v>95.54</v>
      </c>
      <c r="K125" s="694">
        <f t="shared" si="22"/>
        <v>77.61</v>
      </c>
      <c r="L125" s="694">
        <f t="shared" si="23"/>
        <v>173.15</v>
      </c>
      <c r="M125" s="697"/>
      <c r="N125" s="694">
        <f t="shared" si="24"/>
        <v>1.5</v>
      </c>
      <c r="O125" s="695">
        <f t="shared" si="25"/>
        <v>8.7387124963588698E-3</v>
      </c>
    </row>
    <row r="126" spans="2:15" x14ac:dyDescent="0.2">
      <c r="B126" s="691">
        <f>IF(D126&lt;&gt;"",COUNTA($D$119:D126),"")</f>
        <v>8</v>
      </c>
      <c r="C126" s="691"/>
      <c r="D126" s="693">
        <v>600</v>
      </c>
      <c r="E126" s="693"/>
      <c r="F126" s="694">
        <f t="shared" si="18"/>
        <v>110.84</v>
      </c>
      <c r="G126" s="694">
        <f t="shared" si="19"/>
        <v>93.13</v>
      </c>
      <c r="H126" s="694">
        <f t="shared" si="20"/>
        <v>203.97</v>
      </c>
      <c r="I126" s="697"/>
      <c r="J126" s="694">
        <f t="shared" si="21"/>
        <v>112.65</v>
      </c>
      <c r="K126" s="694">
        <f t="shared" si="22"/>
        <v>93.13</v>
      </c>
      <c r="L126" s="694">
        <f t="shared" si="23"/>
        <v>205.78</v>
      </c>
      <c r="M126" s="697"/>
      <c r="N126" s="694">
        <f t="shared" si="24"/>
        <v>1.8100000000000023</v>
      </c>
      <c r="O126" s="695">
        <f t="shared" si="25"/>
        <v>8.8738539981369925E-3</v>
      </c>
    </row>
    <row r="127" spans="2:15" x14ac:dyDescent="0.2">
      <c r="B127" s="691">
        <f>IF(D127&lt;&gt;"",COUNTA($D$119:D127),"")</f>
        <v>9</v>
      </c>
      <c r="C127" s="691"/>
      <c r="D127" s="693">
        <v>700</v>
      </c>
      <c r="E127" s="693"/>
      <c r="F127" s="694">
        <f t="shared" si="18"/>
        <v>127.65</v>
      </c>
      <c r="G127" s="694">
        <f t="shared" si="19"/>
        <v>108.65</v>
      </c>
      <c r="H127" s="694">
        <f t="shared" si="20"/>
        <v>236.3</v>
      </c>
      <c r="I127" s="697"/>
      <c r="J127" s="694">
        <f t="shared" si="21"/>
        <v>129.76</v>
      </c>
      <c r="K127" s="694">
        <f t="shared" si="22"/>
        <v>108.65</v>
      </c>
      <c r="L127" s="694">
        <f t="shared" si="23"/>
        <v>238.41</v>
      </c>
      <c r="M127" s="697"/>
      <c r="N127" s="694">
        <f t="shared" si="24"/>
        <v>2.1099999999999852</v>
      </c>
      <c r="O127" s="695">
        <f t="shared" si="25"/>
        <v>8.9293271265340046E-3</v>
      </c>
    </row>
    <row r="128" spans="2:15" x14ac:dyDescent="0.2">
      <c r="B128" s="691">
        <f>IF(D128&lt;&gt;"",COUNTA($D$119:D128),"")</f>
        <v>10</v>
      </c>
      <c r="C128" s="691"/>
      <c r="D128" s="693">
        <v>800</v>
      </c>
      <c r="E128" s="693"/>
      <c r="F128" s="694">
        <f t="shared" si="18"/>
        <v>144.46</v>
      </c>
      <c r="G128" s="694">
        <f t="shared" si="19"/>
        <v>124.18</v>
      </c>
      <c r="H128" s="694">
        <f t="shared" si="20"/>
        <v>268.64</v>
      </c>
      <c r="I128" s="697"/>
      <c r="J128" s="694">
        <f t="shared" si="21"/>
        <v>146.86000000000001</v>
      </c>
      <c r="K128" s="694">
        <f t="shared" si="22"/>
        <v>124.18</v>
      </c>
      <c r="L128" s="694">
        <f t="shared" si="23"/>
        <v>271.04000000000002</v>
      </c>
      <c r="M128" s="697"/>
      <c r="N128" s="694">
        <f t="shared" si="24"/>
        <v>2.4000000000000341</v>
      </c>
      <c r="O128" s="695">
        <f t="shared" si="25"/>
        <v>8.933889219773802E-3</v>
      </c>
    </row>
    <row r="129" spans="2:15" x14ac:dyDescent="0.2">
      <c r="B129" s="691">
        <f>IF(D129&lt;&gt;"",COUNTA($D$119:D129),"")</f>
        <v>11</v>
      </c>
      <c r="C129" s="691"/>
      <c r="D129" s="693">
        <v>900</v>
      </c>
      <c r="E129" s="693"/>
      <c r="F129" s="694">
        <f t="shared" si="18"/>
        <v>161.26</v>
      </c>
      <c r="G129" s="694">
        <f t="shared" si="19"/>
        <v>139.69999999999999</v>
      </c>
      <c r="H129" s="694">
        <f t="shared" si="20"/>
        <v>300.95999999999998</v>
      </c>
      <c r="I129" s="697"/>
      <c r="J129" s="694">
        <f t="shared" si="21"/>
        <v>163.97</v>
      </c>
      <c r="K129" s="694">
        <f t="shared" si="22"/>
        <v>139.69999999999999</v>
      </c>
      <c r="L129" s="694">
        <f t="shared" si="23"/>
        <v>303.66999999999996</v>
      </c>
      <c r="M129" s="697"/>
      <c r="N129" s="694">
        <f t="shared" si="24"/>
        <v>2.7099999999999795</v>
      </c>
      <c r="O129" s="695">
        <f t="shared" si="25"/>
        <v>9.0045188729398588E-3</v>
      </c>
    </row>
    <row r="130" spans="2:15" x14ac:dyDescent="0.2">
      <c r="B130" s="691">
        <f>IF(D130&lt;&gt;"",COUNTA($D$119:D130),"")</f>
        <v>12</v>
      </c>
      <c r="C130" s="691"/>
      <c r="D130" s="693">
        <v>1000</v>
      </c>
      <c r="E130" s="693"/>
      <c r="F130" s="694">
        <f t="shared" si="18"/>
        <v>178.07</v>
      </c>
      <c r="G130" s="694">
        <f t="shared" si="19"/>
        <v>155.22</v>
      </c>
      <c r="H130" s="694">
        <f t="shared" si="20"/>
        <v>333.28999999999996</v>
      </c>
      <c r="I130" s="697"/>
      <c r="J130" s="694">
        <f t="shared" si="21"/>
        <v>181.08</v>
      </c>
      <c r="K130" s="694">
        <f t="shared" si="22"/>
        <v>155.22</v>
      </c>
      <c r="L130" s="694">
        <f t="shared" si="23"/>
        <v>336.3</v>
      </c>
      <c r="M130" s="697"/>
      <c r="N130" s="694">
        <f t="shared" si="24"/>
        <v>3.0100000000000477</v>
      </c>
      <c r="O130" s="695">
        <f t="shared" si="25"/>
        <v>9.0311740526269856E-3</v>
      </c>
    </row>
    <row r="131" spans="2:15" x14ac:dyDescent="0.2">
      <c r="B131" s="691">
        <f>IF(D131&lt;&gt;"",COUNTA($D$119:D131),"")</f>
        <v>13</v>
      </c>
      <c r="C131" s="691"/>
      <c r="D131" s="693">
        <v>1250</v>
      </c>
      <c r="E131" s="693"/>
      <c r="F131" s="694">
        <f t="shared" si="18"/>
        <v>220.09</v>
      </c>
      <c r="G131" s="694">
        <f t="shared" si="19"/>
        <v>194.03</v>
      </c>
      <c r="H131" s="694">
        <f t="shared" si="20"/>
        <v>414.12</v>
      </c>
      <c r="I131" s="697"/>
      <c r="J131" s="694">
        <f t="shared" si="21"/>
        <v>223.85</v>
      </c>
      <c r="K131" s="694">
        <f t="shared" si="22"/>
        <v>194.03</v>
      </c>
      <c r="L131" s="694">
        <f t="shared" si="23"/>
        <v>417.88</v>
      </c>
      <c r="M131" s="697"/>
      <c r="N131" s="694">
        <f t="shared" si="24"/>
        <v>3.7599999999999909</v>
      </c>
      <c r="O131" s="695">
        <f t="shared" si="25"/>
        <v>9.0794938665120992E-3</v>
      </c>
    </row>
    <row r="132" spans="2:15" x14ac:dyDescent="0.2">
      <c r="B132" s="691">
        <f>IF(D132&lt;&gt;"",COUNTA($D$119:D132),"")</f>
        <v>14</v>
      </c>
      <c r="C132" s="691"/>
      <c r="D132" s="693">
        <v>1500</v>
      </c>
      <c r="E132" s="693"/>
      <c r="F132" s="694">
        <f t="shared" si="18"/>
        <v>262.11</v>
      </c>
      <c r="G132" s="694">
        <f t="shared" si="19"/>
        <v>232.83</v>
      </c>
      <c r="H132" s="694">
        <f t="shared" si="20"/>
        <v>494.94000000000005</v>
      </c>
      <c r="I132" s="697"/>
      <c r="J132" s="694">
        <f t="shared" si="21"/>
        <v>266.62</v>
      </c>
      <c r="K132" s="694">
        <f t="shared" si="22"/>
        <v>232.83</v>
      </c>
      <c r="L132" s="694">
        <f t="shared" si="23"/>
        <v>499.45000000000005</v>
      </c>
      <c r="M132" s="697"/>
      <c r="N132" s="694">
        <f t="shared" si="24"/>
        <v>4.5099999999999909</v>
      </c>
      <c r="O132" s="695">
        <f t="shared" si="25"/>
        <v>9.1122156220955885E-3</v>
      </c>
    </row>
    <row r="133" spans="2:15" x14ac:dyDescent="0.2">
      <c r="B133" s="691">
        <f>IF(D133&lt;&gt;"",COUNTA($D$119:D133),"")</f>
        <v>15</v>
      </c>
      <c r="C133" s="691"/>
      <c r="D133" s="693">
        <v>2000</v>
      </c>
      <c r="E133" s="693"/>
      <c r="F133" s="694">
        <f t="shared" si="18"/>
        <v>346.14</v>
      </c>
      <c r="G133" s="694">
        <f t="shared" si="19"/>
        <v>310.44</v>
      </c>
      <c r="H133" s="694">
        <f t="shared" si="20"/>
        <v>656.57999999999993</v>
      </c>
      <c r="I133" s="697"/>
      <c r="J133" s="694">
        <f t="shared" si="21"/>
        <v>352.16</v>
      </c>
      <c r="K133" s="694">
        <f t="shared" si="22"/>
        <v>310.44</v>
      </c>
      <c r="L133" s="694">
        <f t="shared" si="23"/>
        <v>662.6</v>
      </c>
      <c r="M133" s="697"/>
      <c r="N133" s="694">
        <f t="shared" si="24"/>
        <v>6.0200000000000955</v>
      </c>
      <c r="O133" s="695">
        <f t="shared" si="25"/>
        <v>9.1687227755948945E-3</v>
      </c>
    </row>
    <row r="134" spans="2:15" x14ac:dyDescent="0.2">
      <c r="B134" s="691">
        <f>IF(D134&lt;&gt;"",COUNTA($D$119:D134),"")</f>
        <v>16</v>
      </c>
      <c r="C134" s="691" t="s">
        <v>627</v>
      </c>
      <c r="D134" s="693">
        <v>745</v>
      </c>
      <c r="E134" s="693"/>
      <c r="F134" s="694">
        <f t="shared" si="18"/>
        <v>135.21</v>
      </c>
      <c r="G134" s="694">
        <f t="shared" si="19"/>
        <v>115.64</v>
      </c>
      <c r="H134" s="694">
        <f t="shared" si="20"/>
        <v>250.85000000000002</v>
      </c>
      <c r="I134" s="697"/>
      <c r="J134" s="694">
        <f t="shared" si="21"/>
        <v>137.44999999999999</v>
      </c>
      <c r="K134" s="694">
        <f t="shared" si="22"/>
        <v>115.64</v>
      </c>
      <c r="L134" s="694">
        <f t="shared" si="23"/>
        <v>253.08999999999997</v>
      </c>
      <c r="M134" s="697"/>
      <c r="N134" s="694">
        <f t="shared" si="24"/>
        <v>2.2399999999999523</v>
      </c>
      <c r="O134" s="695">
        <f t="shared" si="25"/>
        <v>8.9296392266292688E-3</v>
      </c>
    </row>
    <row r="135" spans="2:15" ht="15.75" x14ac:dyDescent="0.25">
      <c r="B135" s="691" t="str">
        <f>IF(D135&lt;&gt;"",COUNTA($D$119:D135),"")</f>
        <v/>
      </c>
      <c r="C135" s="691"/>
      <c r="D135" s="698"/>
      <c r="E135" s="699"/>
      <c r="F135" s="699"/>
      <c r="G135" s="699"/>
      <c r="H135" s="700"/>
      <c r="I135" s="699"/>
      <c r="J135" s="699"/>
      <c r="K135" s="699"/>
      <c r="L135" s="700"/>
      <c r="M135" s="700"/>
      <c r="N135"/>
    </row>
    <row r="136" spans="2:15" ht="15.75" x14ac:dyDescent="0.25">
      <c r="B136" s="691" t="str">
        <f>IF(D136&lt;&gt;"",COUNTA($D$119:D136),"")</f>
        <v/>
      </c>
      <c r="C136" s="691"/>
      <c r="D136" s="698"/>
      <c r="E136" s="700"/>
      <c r="F136" s="699"/>
      <c r="G136" s="699"/>
      <c r="H136" s="700"/>
      <c r="I136" s="699"/>
      <c r="J136" s="699"/>
      <c r="K136" s="699"/>
      <c r="L136" s="700"/>
      <c r="M136" s="700"/>
      <c r="N136"/>
    </row>
    <row r="137" spans="2:15" ht="15.75" x14ac:dyDescent="0.25">
      <c r="B137" s="691">
        <f>IF(D137&lt;&gt;"",COUNTA($D$119:D137),"")</f>
        <v>17</v>
      </c>
      <c r="C137" s="691"/>
      <c r="D137" s="701" t="s">
        <v>27</v>
      </c>
      <c r="E137" s="697"/>
      <c r="F137" s="697"/>
      <c r="G137" s="746" t="str">
        <f>$G$28</f>
        <v>2024 Without CVEO</v>
      </c>
      <c r="H137" s="746" t="str">
        <f>$H$28</f>
        <v>2024 With CVEO</v>
      </c>
      <c r="J137" s="773"/>
      <c r="K137" s="697"/>
      <c r="L137" s="697"/>
      <c r="M137" s="697"/>
      <c r="N137"/>
    </row>
    <row r="138" spans="2:15" ht="15.75" x14ac:dyDescent="0.25">
      <c r="B138" s="691">
        <f>IF(D138&lt;&gt;"",COUNTA($D$119:D138),"")</f>
        <v>18</v>
      </c>
      <c r="C138" s="691"/>
      <c r="D138" s="701" t="s">
        <v>27</v>
      </c>
      <c r="E138" s="697"/>
      <c r="F138" s="697"/>
      <c r="G138" s="774" t="s">
        <v>162</v>
      </c>
      <c r="H138" s="774" t="s">
        <v>162</v>
      </c>
      <c r="J138" s="774" t="s">
        <v>626</v>
      </c>
      <c r="K138" s="697"/>
      <c r="L138" s="697"/>
      <c r="M138" s="697"/>
      <c r="N138"/>
    </row>
    <row r="139" spans="2:15" ht="15.75" x14ac:dyDescent="0.25">
      <c r="B139" s="691">
        <f>IF(D139&lt;&gt;"",COUNTA($D$119:D139),"")</f>
        <v>19</v>
      </c>
      <c r="C139" s="691"/>
      <c r="D139" s="690" t="s">
        <v>141</v>
      </c>
      <c r="E139" s="697"/>
      <c r="F139" s="697"/>
      <c r="G139" s="705">
        <v>10</v>
      </c>
      <c r="H139" s="705">
        <v>10</v>
      </c>
      <c r="J139" s="705">
        <f t="shared" ref="J139:J163" si="26">+H139-G139</f>
        <v>0</v>
      </c>
      <c r="K139" s="697"/>
      <c r="L139" s="697"/>
      <c r="M139" s="697"/>
      <c r="N139"/>
    </row>
    <row r="140" spans="2:15" ht="15.75" x14ac:dyDescent="0.25">
      <c r="B140" s="691">
        <f>IF(D140&lt;&gt;"",COUNTA($D$119:D140),"")</f>
        <v>20</v>
      </c>
      <c r="C140" s="691"/>
      <c r="D140" s="690" t="s">
        <v>628</v>
      </c>
      <c r="E140" s="697"/>
      <c r="F140" s="697"/>
      <c r="G140" s="709">
        <v>5.296E-2</v>
      </c>
      <c r="H140" s="709">
        <v>5.296E-2</v>
      </c>
      <c r="J140" s="709">
        <f t="shared" si="26"/>
        <v>0</v>
      </c>
      <c r="K140" s="697"/>
      <c r="L140" s="697"/>
      <c r="M140" s="697"/>
      <c r="N140"/>
    </row>
    <row r="141" spans="2:15" ht="15.75" x14ac:dyDescent="0.25">
      <c r="B141" s="691">
        <f>IF(D141&lt;&gt;"",COUNTA($D$119:D141),"")</f>
        <v>21</v>
      </c>
      <c r="C141" s="691"/>
      <c r="D141" s="690" t="s">
        <v>629</v>
      </c>
      <c r="E141" s="697"/>
      <c r="F141" s="697"/>
      <c r="G141" s="709">
        <v>1.01E-3</v>
      </c>
      <c r="H141" s="709">
        <v>1.01E-3</v>
      </c>
      <c r="J141" s="709">
        <f t="shared" si="26"/>
        <v>0</v>
      </c>
      <c r="K141" s="697"/>
      <c r="L141" s="697"/>
      <c r="M141" s="697"/>
      <c r="N141"/>
    </row>
    <row r="142" spans="2:15" ht="15.75" x14ac:dyDescent="0.25">
      <c r="B142" s="691">
        <f>IF(D142&lt;&gt;"",COUNTA($D$119:D142),"")</f>
        <v>22</v>
      </c>
      <c r="C142" s="691"/>
      <c r="D142" s="690" t="s">
        <v>630</v>
      </c>
      <c r="E142" s="697"/>
      <c r="F142" s="697"/>
      <c r="G142" s="709">
        <v>6.0000000000000002E-5</v>
      </c>
      <c r="H142" s="709">
        <v>6.0000000000000002E-5</v>
      </c>
      <c r="J142" s="709">
        <f t="shared" si="26"/>
        <v>0</v>
      </c>
      <c r="K142" s="697"/>
      <c r="L142" s="697"/>
      <c r="M142" s="697"/>
      <c r="N142"/>
    </row>
    <row r="143" spans="2:15" ht="15.75" x14ac:dyDescent="0.25">
      <c r="B143" s="691">
        <f>IF(D143&lt;&gt;"",COUNTA($D$119:D143),"")</f>
        <v>23</v>
      </c>
      <c r="C143" s="691"/>
      <c r="D143" s="708" t="s">
        <v>631</v>
      </c>
      <c r="E143" s="697"/>
      <c r="F143" s="697"/>
      <c r="G143" s="709">
        <v>8.0000000000000002E-3</v>
      </c>
      <c r="H143" s="709">
        <v>8.0000000000000002E-3</v>
      </c>
      <c r="J143" s="709">
        <f t="shared" si="26"/>
        <v>0</v>
      </c>
      <c r="K143" s="697"/>
      <c r="L143" s="697"/>
      <c r="M143" s="697"/>
      <c r="N143"/>
    </row>
    <row r="144" spans="2:15" ht="15.75" x14ac:dyDescent="0.25">
      <c r="B144" s="691">
        <f>IF(D144&lt;&gt;"",COUNTA($D$119:D144),"")</f>
        <v>24</v>
      </c>
      <c r="C144" s="691"/>
      <c r="D144" s="690" t="s">
        <v>632</v>
      </c>
      <c r="E144" s="697"/>
      <c r="F144" s="697"/>
      <c r="G144" s="709">
        <v>8.1600000000000006E-3</v>
      </c>
      <c r="H144" s="709">
        <v>8.1600000000000006E-3</v>
      </c>
      <c r="J144" s="709">
        <f t="shared" si="26"/>
        <v>0</v>
      </c>
      <c r="K144" s="697"/>
      <c r="L144" s="697"/>
      <c r="M144" s="697"/>
      <c r="N144"/>
    </row>
    <row r="145" spans="2:17" ht="15.75" x14ac:dyDescent="0.25">
      <c r="B145" s="691">
        <f>IF(D145&lt;&gt;"",COUNTA($D$119:D145),"")</f>
        <v>25</v>
      </c>
      <c r="C145" s="691"/>
      <c r="D145" s="690" t="s">
        <v>633</v>
      </c>
      <c r="E145" s="697"/>
      <c r="F145" s="697"/>
      <c r="G145" s="709">
        <v>8.5999999999999998E-4</v>
      </c>
      <c r="H145" s="709">
        <v>8.5999999999999998E-4</v>
      </c>
      <c r="J145" s="709">
        <f t="shared" si="26"/>
        <v>0</v>
      </c>
      <c r="K145" s="697"/>
      <c r="L145" s="697"/>
      <c r="M145" s="697"/>
      <c r="N145"/>
    </row>
    <row r="146" spans="2:17" ht="15.75" x14ac:dyDescent="0.25">
      <c r="B146" s="691">
        <f>IF(D146&lt;&gt;"",COUNTA($D$119:D146),"")</f>
        <v>26</v>
      </c>
      <c r="C146" s="691"/>
      <c r="D146" s="690" t="s">
        <v>634</v>
      </c>
      <c r="E146" s="697"/>
      <c r="F146" s="697"/>
      <c r="G146" s="709">
        <v>1.6219999999999998E-2</v>
      </c>
      <c r="H146" s="709">
        <v>1.6219999999999998E-2</v>
      </c>
      <c r="J146" s="709">
        <f t="shared" si="26"/>
        <v>0</v>
      </c>
      <c r="K146" s="697"/>
      <c r="L146" s="697"/>
      <c r="M146" s="697"/>
      <c r="N146"/>
    </row>
    <row r="147" spans="2:17" ht="15.75" x14ac:dyDescent="0.25">
      <c r="B147" s="691">
        <f>IF(D147&lt;&gt;"",COUNTA($D$119:D147),"")</f>
        <v>27</v>
      </c>
      <c r="C147" s="691"/>
      <c r="D147" s="690" t="s">
        <v>635</v>
      </c>
      <c r="E147" s="697"/>
      <c r="F147" s="697"/>
      <c r="G147" s="709">
        <v>-1.9300000000000001E-3</v>
      </c>
      <c r="H147" s="709">
        <v>-1.9300000000000001E-3</v>
      </c>
      <c r="J147" s="709">
        <f t="shared" si="26"/>
        <v>0</v>
      </c>
      <c r="K147" s="697"/>
      <c r="L147" s="697"/>
      <c r="M147" s="697"/>
      <c r="N147"/>
      <c r="Q147" s="687" t="s">
        <v>27</v>
      </c>
    </row>
    <row r="148" spans="2:17" ht="15.75" x14ac:dyDescent="0.25">
      <c r="B148" s="691">
        <f>IF(D148&lt;&gt;"",COUNTA($D$119:D148),"")</f>
        <v>28</v>
      </c>
      <c r="C148" s="691"/>
      <c r="D148" s="690" t="s">
        <v>636</v>
      </c>
      <c r="E148" s="697"/>
      <c r="F148" s="697"/>
      <c r="G148" s="709">
        <v>5.0000000000000002E-5</v>
      </c>
      <c r="H148" s="709">
        <v>5.0000000000000002E-5</v>
      </c>
      <c r="J148" s="709">
        <f t="shared" si="26"/>
        <v>0</v>
      </c>
      <c r="K148" s="697"/>
      <c r="L148" s="697"/>
      <c r="M148" s="697"/>
      <c r="N148"/>
    </row>
    <row r="149" spans="2:17" ht="15.75" x14ac:dyDescent="0.25">
      <c r="B149" s="691">
        <f>IF(D149&lt;&gt;"",COUNTA($D$119:D149),"")</f>
        <v>29</v>
      </c>
      <c r="C149" s="691"/>
      <c r="D149" s="690" t="s">
        <v>637</v>
      </c>
      <c r="E149" s="697"/>
      <c r="F149" s="697"/>
      <c r="G149" s="709">
        <v>6.6299999999999996E-3</v>
      </c>
      <c r="H149" s="709">
        <v>6.6299999999999996E-3</v>
      </c>
      <c r="J149" s="709">
        <f t="shared" si="26"/>
        <v>0</v>
      </c>
      <c r="K149" s="697"/>
      <c r="L149" s="697"/>
      <c r="M149" s="697"/>
      <c r="N149"/>
    </row>
    <row r="150" spans="2:17" ht="15.75" x14ac:dyDescent="0.25">
      <c r="B150" s="691">
        <f>IF(D150&lt;&gt;"",COUNTA($D$119:D150),"")</f>
        <v>30</v>
      </c>
      <c r="C150" s="691"/>
      <c r="D150" s="690" t="s">
        <v>638</v>
      </c>
      <c r="E150" s="697"/>
      <c r="F150" s="697"/>
      <c r="G150" s="709">
        <v>0</v>
      </c>
      <c r="H150" s="709">
        <v>0</v>
      </c>
      <c r="J150" s="709">
        <f t="shared" si="26"/>
        <v>0</v>
      </c>
      <c r="K150" s="697"/>
      <c r="L150" s="697"/>
      <c r="M150" s="697"/>
      <c r="N150"/>
    </row>
    <row r="151" spans="2:17" ht="15.75" x14ac:dyDescent="0.25">
      <c r="B151" s="691">
        <f>IF(D151&lt;&gt;"",COUNTA($D$119:D151),"")</f>
        <v>31</v>
      </c>
      <c r="C151" s="691"/>
      <c r="D151" s="690" t="s">
        <v>639</v>
      </c>
      <c r="E151" s="697"/>
      <c r="F151" s="697"/>
      <c r="G151" s="709">
        <v>-4.6000000000000001E-4</v>
      </c>
      <c r="H151" s="709">
        <v>-4.6000000000000001E-4</v>
      </c>
      <c r="J151" s="709">
        <f t="shared" si="26"/>
        <v>0</v>
      </c>
      <c r="K151" s="697"/>
      <c r="L151" s="697"/>
      <c r="M151" s="697"/>
      <c r="N151"/>
    </row>
    <row r="152" spans="2:17" ht="15.75" x14ac:dyDescent="0.25">
      <c r="B152" s="691">
        <f>IF(D152&lt;&gt;"",COUNTA($D$119:D152),"")</f>
        <v>32</v>
      </c>
      <c r="C152" s="691"/>
      <c r="D152" s="690" t="s">
        <v>640</v>
      </c>
      <c r="E152" s="697"/>
      <c r="F152" s="697"/>
      <c r="G152" s="709">
        <v>2.0000000000000002E-5</v>
      </c>
      <c r="H152" s="709">
        <v>2.0000000000000002E-5</v>
      </c>
      <c r="J152" s="709">
        <f t="shared" si="26"/>
        <v>0</v>
      </c>
      <c r="K152" s="697"/>
      <c r="L152" s="697"/>
      <c r="M152" s="697"/>
      <c r="N152"/>
    </row>
    <row r="153" spans="2:17" ht="15.75" x14ac:dyDescent="0.25">
      <c r="B153" s="691">
        <f>IF(D153&lt;&gt;"",COUNTA($D$119:D153),"")</f>
        <v>33</v>
      </c>
      <c r="C153" s="691"/>
      <c r="D153" s="690" t="s">
        <v>641</v>
      </c>
      <c r="E153" s="697"/>
      <c r="F153" s="697"/>
      <c r="G153" s="709">
        <v>-5.1000000000000004E-4</v>
      </c>
      <c r="H153" s="709">
        <v>-5.1000000000000004E-4</v>
      </c>
      <c r="J153" s="709">
        <f t="shared" si="26"/>
        <v>0</v>
      </c>
      <c r="K153" s="697"/>
      <c r="L153" s="697"/>
      <c r="M153" s="697"/>
      <c r="N153"/>
    </row>
    <row r="154" spans="2:17" ht="15.75" x14ac:dyDescent="0.25">
      <c r="B154" s="691">
        <f>IF(D154&lt;&gt;"",COUNTA($D$119:D154),"")</f>
        <v>34</v>
      </c>
      <c r="C154" s="691"/>
      <c r="D154" s="690" t="s">
        <v>642</v>
      </c>
      <c r="E154" s="697"/>
      <c r="F154" s="697"/>
      <c r="G154" s="709">
        <v>1.9300000000000001E-3</v>
      </c>
      <c r="H154" s="709">
        <v>1.9300000000000001E-3</v>
      </c>
      <c r="J154" s="709">
        <f t="shared" si="26"/>
        <v>0</v>
      </c>
      <c r="K154" s="697"/>
      <c r="L154" s="697"/>
      <c r="M154" s="697"/>
      <c r="N154"/>
    </row>
    <row r="155" spans="2:17" ht="15.75" x14ac:dyDescent="0.25">
      <c r="B155" s="691">
        <f>IF(D155&lt;&gt;"",COUNTA($D$119:D155),"")</f>
        <v>35</v>
      </c>
      <c r="C155" s="691"/>
      <c r="D155" s="690" t="s">
        <v>643</v>
      </c>
      <c r="E155" s="697"/>
      <c r="F155" s="697"/>
      <c r="G155" s="709">
        <v>-1.8E-3</v>
      </c>
      <c r="H155" s="709">
        <v>-1.8E-3</v>
      </c>
      <c r="J155" s="709">
        <f t="shared" si="26"/>
        <v>0</v>
      </c>
      <c r="K155" s="697"/>
      <c r="L155" s="697"/>
      <c r="M155" s="697"/>
      <c r="N155"/>
    </row>
    <row r="156" spans="2:17" ht="15.75" x14ac:dyDescent="0.25">
      <c r="B156" s="691">
        <f>IF(D156&lt;&gt;"",COUNTA($D$119:D156),"")</f>
        <v>36</v>
      </c>
      <c r="C156" s="691"/>
      <c r="D156" s="690" t="s">
        <v>644</v>
      </c>
      <c r="E156" s="697"/>
      <c r="F156" s="697"/>
      <c r="G156" s="709">
        <v>1.89E-3</v>
      </c>
      <c r="H156" s="709">
        <v>1.89E-3</v>
      </c>
      <c r="J156" s="709">
        <f t="shared" si="26"/>
        <v>0</v>
      </c>
      <c r="K156" s="697"/>
      <c r="L156" s="697"/>
      <c r="M156" s="697"/>
      <c r="N156"/>
    </row>
    <row r="157" spans="2:17" ht="15.75" x14ac:dyDescent="0.25">
      <c r="B157" s="691">
        <f>IF(D157&lt;&gt;"",COUNTA($D$119:D157),"")</f>
        <v>37</v>
      </c>
      <c r="C157" s="691"/>
      <c r="D157" s="690" t="s">
        <v>645</v>
      </c>
      <c r="E157" s="697"/>
      <c r="F157" s="697"/>
      <c r="G157" s="709">
        <v>3.1800000000000001E-3</v>
      </c>
      <c r="H157" s="709">
        <v>3.1800000000000001E-3</v>
      </c>
      <c r="J157" s="709">
        <f t="shared" si="26"/>
        <v>0</v>
      </c>
      <c r="K157" s="697"/>
      <c r="L157" s="697"/>
      <c r="M157" s="697"/>
      <c r="N157"/>
    </row>
    <row r="158" spans="2:17" ht="15.75" x14ac:dyDescent="0.25">
      <c r="B158" s="691">
        <f>IF(D158&lt;&gt;"",COUNTA($D$119:D158),"")</f>
        <v>38</v>
      </c>
      <c r="C158" s="691"/>
      <c r="D158" s="690" t="s">
        <v>646</v>
      </c>
      <c r="E158" s="697"/>
      <c r="F158" s="697"/>
      <c r="G158" s="709">
        <v>-3.6999999999999999E-4</v>
      </c>
      <c r="H158" s="709">
        <v>-3.6999999999999999E-4</v>
      </c>
      <c r="J158" s="709">
        <f t="shared" si="26"/>
        <v>0</v>
      </c>
      <c r="K158" s="697"/>
      <c r="L158" s="697"/>
      <c r="M158" s="697"/>
      <c r="N158"/>
    </row>
    <row r="159" spans="2:17" ht="15.75" x14ac:dyDescent="0.25">
      <c r="B159" s="691">
        <f>IF(D159&lt;&gt;"",COUNTA($D$119:D159),"")</f>
        <v>39</v>
      </c>
      <c r="C159" s="691"/>
      <c r="D159" s="690" t="s">
        <v>647</v>
      </c>
      <c r="E159" s="697"/>
      <c r="F159" s="697"/>
      <c r="G159" s="709">
        <v>4.052E-2</v>
      </c>
      <c r="H159" s="709">
        <v>4.052E-2</v>
      </c>
      <c r="J159" s="709">
        <f t="shared" si="26"/>
        <v>0</v>
      </c>
      <c r="K159" s="697"/>
      <c r="L159" s="697"/>
      <c r="M159" s="697"/>
      <c r="N159"/>
    </row>
    <row r="160" spans="2:17" ht="15.75" x14ac:dyDescent="0.25">
      <c r="B160" s="691">
        <f>IF(D160&lt;&gt;"",COUNTA($D$119:D160),"")</f>
        <v>40</v>
      </c>
      <c r="C160" s="691"/>
      <c r="D160" s="690" t="s">
        <v>648</v>
      </c>
      <c r="E160" s="697"/>
      <c r="F160" s="697"/>
      <c r="G160" s="709">
        <f>EES!$E$22</f>
        <v>2.8649999999999998E-2</v>
      </c>
      <c r="H160" s="709">
        <f>EES!$I$22</f>
        <v>3.1660000000000001E-2</v>
      </c>
      <c r="J160" s="709">
        <f t="shared" si="26"/>
        <v>3.0100000000000023E-3</v>
      </c>
      <c r="K160" s="697"/>
      <c r="L160" s="697"/>
      <c r="M160" s="697"/>
      <c r="N160"/>
    </row>
    <row r="161" spans="2:15" ht="15.75" x14ac:dyDescent="0.25">
      <c r="B161" s="691">
        <f>IF(D161&lt;&gt;"",COUNTA($D$119:D161),"")</f>
        <v>41</v>
      </c>
      <c r="C161" s="691"/>
      <c r="D161" s="690" t="s">
        <v>649</v>
      </c>
      <c r="E161" s="697"/>
      <c r="F161" s="697"/>
      <c r="G161" s="709">
        <v>2.5000000000000001E-3</v>
      </c>
      <c r="H161" s="709">
        <v>2.5000000000000001E-3</v>
      </c>
      <c r="J161" s="709">
        <f t="shared" si="26"/>
        <v>0</v>
      </c>
      <c r="K161" s="697"/>
      <c r="L161" s="697"/>
      <c r="M161" s="697"/>
      <c r="N161"/>
    </row>
    <row r="162" spans="2:15" ht="15.75" x14ac:dyDescent="0.25">
      <c r="B162" s="691">
        <f>IF(D162&lt;&gt;"",COUNTA($D$119:D162),"")</f>
        <v>42</v>
      </c>
      <c r="C162" s="691"/>
      <c r="D162" s="690" t="s">
        <v>650</v>
      </c>
      <c r="E162" s="697"/>
      <c r="F162" s="697"/>
      <c r="G162" s="709">
        <v>5.0000000000000001E-4</v>
      </c>
      <c r="H162" s="709">
        <v>5.0000000000000001E-4</v>
      </c>
      <c r="J162" s="709">
        <f t="shared" si="26"/>
        <v>0</v>
      </c>
      <c r="K162" s="697"/>
      <c r="L162" s="697"/>
      <c r="M162" s="697"/>
      <c r="N162"/>
    </row>
    <row r="163" spans="2:15" ht="15.75" x14ac:dyDescent="0.25">
      <c r="B163" s="691">
        <f>IF(D163&lt;&gt;"",COUNTA($D$119:D163),"")</f>
        <v>43</v>
      </c>
      <c r="C163" s="691"/>
      <c r="D163" s="708" t="s">
        <v>651</v>
      </c>
      <c r="E163" s="697"/>
      <c r="F163" s="697"/>
      <c r="G163" s="709">
        <v>0.15522</v>
      </c>
      <c r="H163" s="709">
        <v>0.15522</v>
      </c>
      <c r="J163" s="709">
        <f t="shared" si="26"/>
        <v>0</v>
      </c>
      <c r="K163" s="697"/>
      <c r="L163" s="697"/>
      <c r="M163" s="697"/>
      <c r="N163"/>
    </row>
    <row r="166" spans="2:15" ht="15.75" x14ac:dyDescent="0.25">
      <c r="B166" s="1070" t="str">
        <f>$B$3</f>
        <v>Cape Light Compact JPE</v>
      </c>
      <c r="C166" s="1070"/>
      <c r="D166" s="1070"/>
      <c r="E166" s="1070"/>
      <c r="F166" s="1070"/>
      <c r="G166" s="1070"/>
      <c r="H166" s="1070"/>
      <c r="I166" s="1070"/>
      <c r="J166" s="1070"/>
      <c r="K166" s="1070"/>
      <c r="L166" s="1070"/>
      <c r="M166" s="1070"/>
      <c r="N166" s="1070"/>
      <c r="O166" s="1070"/>
    </row>
    <row r="167" spans="2:15" ht="15.75" x14ac:dyDescent="0.25">
      <c r="B167" s="1070" t="str">
        <f>$B$4</f>
        <v>Calculation of Monthly Typical Bill</v>
      </c>
      <c r="C167" s="1070"/>
      <c r="D167" s="1070"/>
      <c r="E167" s="1070"/>
      <c r="F167" s="1070"/>
      <c r="G167" s="1070"/>
      <c r="H167" s="1070"/>
      <c r="I167" s="1070"/>
      <c r="J167" s="1070"/>
      <c r="K167" s="1070"/>
      <c r="L167" s="1070"/>
      <c r="M167" s="1070"/>
      <c r="N167" s="1070"/>
      <c r="O167" s="1070"/>
    </row>
    <row r="168" spans="2:15" ht="15.75" x14ac:dyDescent="0.25">
      <c r="B168" s="1070" t="str">
        <f>$B$5</f>
        <v>Illustrative 2024 EES Rates</v>
      </c>
      <c r="C168" s="1070"/>
      <c r="D168" s="1070"/>
      <c r="E168" s="1070"/>
      <c r="F168" s="1070"/>
      <c r="G168" s="1070"/>
      <c r="H168" s="1070"/>
      <c r="I168" s="1070"/>
      <c r="J168" s="1070"/>
      <c r="K168" s="1070"/>
      <c r="L168" s="1070"/>
      <c r="M168" s="1070"/>
      <c r="N168" s="1070"/>
      <c r="O168" s="1070"/>
    </row>
    <row r="169" spans="2:15" ht="15.75" x14ac:dyDescent="0.25">
      <c r="B169" s="713"/>
      <c r="C169" s="713"/>
      <c r="D169" s="713"/>
      <c r="E169" s="713"/>
      <c r="F169" s="713"/>
      <c r="G169" s="713"/>
      <c r="H169" s="713"/>
      <c r="I169" s="713"/>
      <c r="J169" s="713"/>
      <c r="K169" s="713"/>
      <c r="L169" s="713"/>
      <c r="M169" s="713"/>
      <c r="N169" s="713"/>
    </row>
    <row r="170" spans="2:15" ht="15.75" x14ac:dyDescent="0.25">
      <c r="B170" s="1070" t="s">
        <v>601</v>
      </c>
      <c r="C170" s="1070"/>
      <c r="D170" s="1070"/>
      <c r="E170" s="1070"/>
      <c r="F170" s="1070"/>
      <c r="G170" s="1070"/>
      <c r="H170" s="1070"/>
      <c r="I170" s="1070"/>
      <c r="J170" s="1070"/>
      <c r="K170" s="1070"/>
      <c r="L170" s="1070"/>
      <c r="M170" s="1070"/>
      <c r="N170" s="1070"/>
      <c r="O170" s="1070"/>
    </row>
    <row r="171" spans="2:15" ht="15.75" x14ac:dyDescent="0.25">
      <c r="B171" s="689"/>
      <c r="C171" s="689"/>
      <c r="D171" s="690"/>
      <c r="E171" s="690"/>
      <c r="F171" s="690"/>
      <c r="G171" s="765"/>
      <c r="H171" s="690"/>
      <c r="I171"/>
      <c r="J171"/>
      <c r="K171"/>
      <c r="L171"/>
      <c r="M171"/>
      <c r="N171"/>
    </row>
    <row r="172" spans="2:15" ht="15.75" x14ac:dyDescent="0.25">
      <c r="B172" s="689"/>
      <c r="C172" s="689"/>
      <c r="D172" s="690"/>
      <c r="E172" s="690"/>
      <c r="F172" s="690"/>
      <c r="G172" s="766"/>
      <c r="H172" s="690"/>
      <c r="I172"/>
      <c r="J172"/>
      <c r="K172"/>
      <c r="L172"/>
      <c r="M172"/>
      <c r="N172"/>
    </row>
    <row r="173" spans="2:15" ht="15.75" x14ac:dyDescent="0.25">
      <c r="B173" s="691">
        <f>IF(D173&lt;&gt;"",COUNTA($D$173:D173),"")</f>
        <v>1</v>
      </c>
      <c r="C173" s="691"/>
      <c r="D173" s="689" t="s">
        <v>12</v>
      </c>
      <c r="E173" s="689"/>
      <c r="F173" s="1067" t="str">
        <f>$F$10</f>
        <v>2024 Without CVEO</v>
      </c>
      <c r="G173" s="1067"/>
      <c r="H173" s="1067"/>
      <c r="I173" s="690"/>
      <c r="J173" s="1067" t="str">
        <f>$J$10</f>
        <v>2024 With CVEO</v>
      </c>
      <c r="K173" s="1068"/>
      <c r="L173" s="1068"/>
      <c r="M173"/>
      <c r="N173" s="1068" t="str">
        <f>$N$10</f>
        <v>Total Bill Impact</v>
      </c>
      <c r="O173" s="1068"/>
    </row>
    <row r="174" spans="2:15" ht="15.75" x14ac:dyDescent="0.25">
      <c r="B174" s="691">
        <f>IF(D174&lt;&gt;"",COUNTA($D$173:D174),"")</f>
        <v>2</v>
      </c>
      <c r="C174" s="691"/>
      <c r="D174" s="692" t="s">
        <v>158</v>
      </c>
      <c r="E174" s="692"/>
      <c r="F174" s="692" t="str">
        <f>F$11</f>
        <v>Delivery</v>
      </c>
      <c r="G174" s="692" t="str">
        <f>G$11</f>
        <v>Supplier</v>
      </c>
      <c r="H174" s="692" t="str">
        <f>H$11</f>
        <v>Total</v>
      </c>
      <c r="I174" s="690"/>
      <c r="J174" s="692" t="str">
        <f>J$11</f>
        <v>Delivery</v>
      </c>
      <c r="K174" s="692" t="str">
        <f>K$11</f>
        <v>Supplier</v>
      </c>
      <c r="L174" s="692" t="str">
        <f>L$11</f>
        <v>Total</v>
      </c>
      <c r="M174"/>
      <c r="N174" s="692" t="str">
        <f>N$11</f>
        <v>Change</v>
      </c>
      <c r="O174" s="692" t="str">
        <f>O$11</f>
        <v>% Change</v>
      </c>
    </row>
    <row r="175" spans="2:15" x14ac:dyDescent="0.2">
      <c r="B175" s="691">
        <f>IF(D175&lt;&gt;"",COUNTA($D$173:D175),"")</f>
        <v>3</v>
      </c>
      <c r="C175" s="691"/>
      <c r="D175" s="693">
        <v>100</v>
      </c>
      <c r="E175" s="693"/>
      <c r="F175" s="694">
        <f t="shared" ref="F175:F188" si="27">ROUND(($D175*(SUM($G$194:$G$216))+$G$193)*(1-$G$218),2)</f>
        <v>15.55</v>
      </c>
      <c r="G175" s="694">
        <f t="shared" ref="G175:G188" si="28">ROUND(($G$217*$D175)*(1-$G$218),2)</f>
        <v>9</v>
      </c>
      <c r="H175" s="694">
        <f t="shared" ref="H175:H188" si="29">SUM(F175:G175)</f>
        <v>24.55</v>
      </c>
      <c r="I175" s="697"/>
      <c r="J175" s="694">
        <f t="shared" ref="J175:J188" si="30">ROUND(($D175*(SUM($H$194:$H$216))+$H$193)*(1-$H$218),2)</f>
        <v>15.72</v>
      </c>
      <c r="K175" s="694">
        <f t="shared" ref="K175:K188" si="31">ROUND(($H$217*$D175)*(1-$H$218),2)</f>
        <v>9</v>
      </c>
      <c r="L175" s="694">
        <f t="shared" ref="L175:L188" si="32">SUM(J175:K175)</f>
        <v>24.72</v>
      </c>
      <c r="M175" s="697"/>
      <c r="N175" s="694">
        <f t="shared" ref="N175:N188" si="33">+L175-H175</f>
        <v>0.16999999999999815</v>
      </c>
      <c r="O175" s="695">
        <f t="shared" ref="O175:O188" si="34">+N175/H175</f>
        <v>6.9246435845213093E-3</v>
      </c>
    </row>
    <row r="176" spans="2:15" x14ac:dyDescent="0.2">
      <c r="B176" s="691">
        <f>IF(D176&lt;&gt;"",COUNTA($D$173:D176),"")</f>
        <v>4</v>
      </c>
      <c r="C176" s="691"/>
      <c r="D176" s="693">
        <v>200</v>
      </c>
      <c r="E176" s="693"/>
      <c r="F176" s="694">
        <f t="shared" si="27"/>
        <v>25.3</v>
      </c>
      <c r="G176" s="694">
        <f t="shared" si="28"/>
        <v>18.010000000000002</v>
      </c>
      <c r="H176" s="694">
        <f t="shared" si="29"/>
        <v>43.31</v>
      </c>
      <c r="I176" s="697"/>
      <c r="J176" s="694">
        <f t="shared" si="30"/>
        <v>25.65</v>
      </c>
      <c r="K176" s="694">
        <f t="shared" si="31"/>
        <v>18.010000000000002</v>
      </c>
      <c r="L176" s="694">
        <f t="shared" si="32"/>
        <v>43.66</v>
      </c>
      <c r="M176" s="697"/>
      <c r="N176" s="694">
        <f t="shared" si="33"/>
        <v>0.34999999999999432</v>
      </c>
      <c r="O176" s="695">
        <f t="shared" si="34"/>
        <v>8.0812745324404141E-3</v>
      </c>
    </row>
    <row r="177" spans="2:15" x14ac:dyDescent="0.2">
      <c r="B177" s="691">
        <f>IF(D177&lt;&gt;"",COUNTA($D$173:D177),"")</f>
        <v>5</v>
      </c>
      <c r="C177" s="691"/>
      <c r="D177" s="693">
        <v>300</v>
      </c>
      <c r="E177" s="693"/>
      <c r="F177" s="694">
        <f t="shared" si="27"/>
        <v>35.04</v>
      </c>
      <c r="G177" s="694">
        <f t="shared" si="28"/>
        <v>27.01</v>
      </c>
      <c r="H177" s="694">
        <f t="shared" si="29"/>
        <v>62.05</v>
      </c>
      <c r="I177" s="697"/>
      <c r="J177" s="694">
        <f t="shared" si="30"/>
        <v>35.57</v>
      </c>
      <c r="K177" s="694">
        <f t="shared" si="31"/>
        <v>27.01</v>
      </c>
      <c r="L177" s="694">
        <f t="shared" si="32"/>
        <v>62.58</v>
      </c>
      <c r="M177" s="697"/>
      <c r="N177" s="694">
        <f t="shared" si="33"/>
        <v>0.53000000000000114</v>
      </c>
      <c r="O177" s="695">
        <f t="shared" si="34"/>
        <v>8.541498791297359E-3</v>
      </c>
    </row>
    <row r="178" spans="2:15" x14ac:dyDescent="0.2">
      <c r="B178" s="691">
        <f>IF(D178&lt;&gt;"",COUNTA($D$173:D178),"")</f>
        <v>6</v>
      </c>
      <c r="C178" s="691"/>
      <c r="D178" s="693">
        <v>400</v>
      </c>
      <c r="E178" s="693"/>
      <c r="F178" s="694">
        <f t="shared" si="27"/>
        <v>44.79</v>
      </c>
      <c r="G178" s="694">
        <f t="shared" si="28"/>
        <v>36.01</v>
      </c>
      <c r="H178" s="694">
        <f t="shared" si="29"/>
        <v>80.8</v>
      </c>
      <c r="I178" s="697"/>
      <c r="J178" s="694">
        <f t="shared" si="30"/>
        <v>45.49</v>
      </c>
      <c r="K178" s="694">
        <f t="shared" si="31"/>
        <v>36.01</v>
      </c>
      <c r="L178" s="694">
        <f t="shared" si="32"/>
        <v>81.5</v>
      </c>
      <c r="M178" s="697"/>
      <c r="N178" s="694">
        <f t="shared" si="33"/>
        <v>0.70000000000000284</v>
      </c>
      <c r="O178" s="695">
        <f t="shared" si="34"/>
        <v>8.6633663366336988E-3</v>
      </c>
    </row>
    <row r="179" spans="2:15" x14ac:dyDescent="0.2">
      <c r="B179" s="691">
        <f>IF(D179&lt;&gt;"",COUNTA($D$173:D179),"")</f>
        <v>7</v>
      </c>
      <c r="C179" s="691"/>
      <c r="D179" s="693">
        <v>500</v>
      </c>
      <c r="E179" s="693"/>
      <c r="F179" s="694">
        <f t="shared" si="27"/>
        <v>54.54</v>
      </c>
      <c r="G179" s="694">
        <f t="shared" si="28"/>
        <v>45.01</v>
      </c>
      <c r="H179" s="694">
        <f t="shared" si="29"/>
        <v>99.55</v>
      </c>
      <c r="I179" s="697"/>
      <c r="J179" s="694">
        <f t="shared" si="30"/>
        <v>55.41</v>
      </c>
      <c r="K179" s="694">
        <f t="shared" si="31"/>
        <v>45.01</v>
      </c>
      <c r="L179" s="694">
        <f t="shared" si="32"/>
        <v>100.41999999999999</v>
      </c>
      <c r="M179" s="697"/>
      <c r="N179" s="694">
        <f t="shared" si="33"/>
        <v>0.86999999999999034</v>
      </c>
      <c r="O179" s="695">
        <f t="shared" si="34"/>
        <v>8.7393269713710742E-3</v>
      </c>
    </row>
    <row r="180" spans="2:15" x14ac:dyDescent="0.2">
      <c r="B180" s="691">
        <f>IF(D180&lt;&gt;"",COUNTA($D$173:D180),"")</f>
        <v>8</v>
      </c>
      <c r="C180" s="691"/>
      <c r="D180" s="693">
        <v>600</v>
      </c>
      <c r="E180" s="693"/>
      <c r="F180" s="694">
        <f t="shared" si="27"/>
        <v>64.290000000000006</v>
      </c>
      <c r="G180" s="694">
        <f t="shared" si="28"/>
        <v>54.02</v>
      </c>
      <c r="H180" s="694">
        <f t="shared" si="29"/>
        <v>118.31</v>
      </c>
      <c r="I180" s="697"/>
      <c r="J180" s="694">
        <f t="shared" si="30"/>
        <v>65.34</v>
      </c>
      <c r="K180" s="694">
        <f t="shared" si="31"/>
        <v>54.02</v>
      </c>
      <c r="L180" s="694">
        <f t="shared" si="32"/>
        <v>119.36000000000001</v>
      </c>
      <c r="M180" s="697"/>
      <c r="N180" s="694">
        <f t="shared" si="33"/>
        <v>1.0500000000000114</v>
      </c>
      <c r="O180" s="695">
        <f t="shared" si="34"/>
        <v>8.874989434536483E-3</v>
      </c>
    </row>
    <row r="181" spans="2:15" x14ac:dyDescent="0.2">
      <c r="B181" s="691">
        <f>IF(D181&lt;&gt;"",COUNTA($D$173:D181),"")</f>
        <v>9</v>
      </c>
      <c r="C181" s="691"/>
      <c r="D181" s="693">
        <v>700</v>
      </c>
      <c r="E181" s="693"/>
      <c r="F181" s="694">
        <f t="shared" si="27"/>
        <v>74.040000000000006</v>
      </c>
      <c r="G181" s="694">
        <f t="shared" si="28"/>
        <v>63.02</v>
      </c>
      <c r="H181" s="694">
        <f t="shared" si="29"/>
        <v>137.06</v>
      </c>
      <c r="I181" s="697"/>
      <c r="J181" s="694">
        <f t="shared" si="30"/>
        <v>75.260000000000005</v>
      </c>
      <c r="K181" s="694">
        <f t="shared" si="31"/>
        <v>63.02</v>
      </c>
      <c r="L181" s="694">
        <f t="shared" si="32"/>
        <v>138.28</v>
      </c>
      <c r="M181" s="697"/>
      <c r="N181" s="694">
        <f t="shared" si="33"/>
        <v>1.2199999999999989</v>
      </c>
      <c r="O181" s="695">
        <f t="shared" si="34"/>
        <v>8.9012111484021508E-3</v>
      </c>
    </row>
    <row r="182" spans="2:15" x14ac:dyDescent="0.2">
      <c r="B182" s="691">
        <f>IF(D182&lt;&gt;"",COUNTA($D$173:D182),"")</f>
        <v>10</v>
      </c>
      <c r="C182" s="691"/>
      <c r="D182" s="693">
        <v>800</v>
      </c>
      <c r="E182" s="693"/>
      <c r="F182" s="694">
        <f t="shared" si="27"/>
        <v>83.78</v>
      </c>
      <c r="G182" s="694">
        <f t="shared" si="28"/>
        <v>72.02</v>
      </c>
      <c r="H182" s="694">
        <f t="shared" si="29"/>
        <v>155.80000000000001</v>
      </c>
      <c r="I182" s="697"/>
      <c r="J182" s="694">
        <f t="shared" si="30"/>
        <v>85.18</v>
      </c>
      <c r="K182" s="694">
        <f t="shared" si="31"/>
        <v>72.02</v>
      </c>
      <c r="L182" s="694">
        <f t="shared" si="32"/>
        <v>157.19999999999999</v>
      </c>
      <c r="M182" s="697"/>
      <c r="N182" s="694">
        <f t="shared" si="33"/>
        <v>1.3999999999999773</v>
      </c>
      <c r="O182" s="695">
        <f t="shared" si="34"/>
        <v>8.9858793324773881E-3</v>
      </c>
    </row>
    <row r="183" spans="2:15" x14ac:dyDescent="0.2">
      <c r="B183" s="691">
        <f>IF(D183&lt;&gt;"",COUNTA($D$173:D183),"")</f>
        <v>11</v>
      </c>
      <c r="C183" s="691"/>
      <c r="D183" s="693">
        <v>900</v>
      </c>
      <c r="E183" s="693"/>
      <c r="F183" s="694">
        <f t="shared" si="27"/>
        <v>93.53</v>
      </c>
      <c r="G183" s="694">
        <f t="shared" si="28"/>
        <v>81.02</v>
      </c>
      <c r="H183" s="694">
        <f t="shared" si="29"/>
        <v>174.55</v>
      </c>
      <c r="I183" s="697"/>
      <c r="J183" s="694">
        <f t="shared" si="30"/>
        <v>95.1</v>
      </c>
      <c r="K183" s="694">
        <f t="shared" si="31"/>
        <v>81.02</v>
      </c>
      <c r="L183" s="694">
        <f t="shared" si="32"/>
        <v>176.12</v>
      </c>
      <c r="M183" s="697"/>
      <c r="N183" s="694">
        <f t="shared" si="33"/>
        <v>1.5699999999999932</v>
      </c>
      <c r="O183" s="695">
        <f t="shared" si="34"/>
        <v>8.994557433400132E-3</v>
      </c>
    </row>
    <row r="184" spans="2:15" x14ac:dyDescent="0.2">
      <c r="B184" s="691">
        <f>IF(D184&lt;&gt;"",COUNTA($D$173:D184),"")</f>
        <v>12</v>
      </c>
      <c r="C184" s="691"/>
      <c r="D184" s="693">
        <v>1000</v>
      </c>
      <c r="E184" s="693"/>
      <c r="F184" s="694">
        <f t="shared" si="27"/>
        <v>103.28</v>
      </c>
      <c r="G184" s="694">
        <f t="shared" si="28"/>
        <v>90.03</v>
      </c>
      <c r="H184" s="694">
        <f t="shared" si="29"/>
        <v>193.31</v>
      </c>
      <c r="I184" s="697"/>
      <c r="J184" s="694">
        <f t="shared" si="30"/>
        <v>105.03</v>
      </c>
      <c r="K184" s="694">
        <f t="shared" si="31"/>
        <v>90.03</v>
      </c>
      <c r="L184" s="694">
        <f t="shared" si="32"/>
        <v>195.06</v>
      </c>
      <c r="M184" s="697"/>
      <c r="N184" s="694">
        <f t="shared" si="33"/>
        <v>1.75</v>
      </c>
      <c r="O184" s="695">
        <f t="shared" si="34"/>
        <v>9.0528167192592216E-3</v>
      </c>
    </row>
    <row r="185" spans="2:15" x14ac:dyDescent="0.2">
      <c r="B185" s="691">
        <f>IF(D185&lt;&gt;"",COUNTA($D$173:D185),"")</f>
        <v>13</v>
      </c>
      <c r="C185" s="691"/>
      <c r="D185" s="693">
        <v>1250</v>
      </c>
      <c r="E185" s="693"/>
      <c r="F185" s="694">
        <f t="shared" si="27"/>
        <v>127.65</v>
      </c>
      <c r="G185" s="694">
        <f t="shared" si="28"/>
        <v>112.53</v>
      </c>
      <c r="H185" s="694">
        <f t="shared" si="29"/>
        <v>240.18</v>
      </c>
      <c r="I185" s="697"/>
      <c r="J185" s="694">
        <f t="shared" si="30"/>
        <v>129.83000000000001</v>
      </c>
      <c r="K185" s="694">
        <f t="shared" si="31"/>
        <v>112.53</v>
      </c>
      <c r="L185" s="694">
        <f t="shared" si="32"/>
        <v>242.36</v>
      </c>
      <c r="M185" s="697"/>
      <c r="N185" s="694">
        <f t="shared" si="33"/>
        <v>2.1800000000000068</v>
      </c>
      <c r="O185" s="695">
        <f t="shared" si="34"/>
        <v>9.076525938879202E-3</v>
      </c>
    </row>
    <row r="186" spans="2:15" x14ac:dyDescent="0.2">
      <c r="B186" s="691">
        <f>IF(D186&lt;&gt;"",COUNTA($D$173:D186),"")</f>
        <v>14</v>
      </c>
      <c r="C186" s="691"/>
      <c r="D186" s="693">
        <v>1500</v>
      </c>
      <c r="E186" s="693"/>
      <c r="F186" s="694">
        <f t="shared" si="27"/>
        <v>152.02000000000001</v>
      </c>
      <c r="G186" s="694">
        <f t="shared" si="28"/>
        <v>135.04</v>
      </c>
      <c r="H186" s="694">
        <f t="shared" si="29"/>
        <v>287.06</v>
      </c>
      <c r="I186" s="697"/>
      <c r="J186" s="694">
        <f t="shared" si="30"/>
        <v>154.63999999999999</v>
      </c>
      <c r="K186" s="694">
        <f t="shared" si="31"/>
        <v>135.04</v>
      </c>
      <c r="L186" s="694">
        <f t="shared" si="32"/>
        <v>289.67999999999995</v>
      </c>
      <c r="M186" s="697"/>
      <c r="N186" s="694">
        <f t="shared" si="33"/>
        <v>2.6199999999999477</v>
      </c>
      <c r="O186" s="695">
        <f t="shared" si="34"/>
        <v>9.127011774541725E-3</v>
      </c>
    </row>
    <row r="187" spans="2:15" x14ac:dyDescent="0.2">
      <c r="B187" s="691">
        <f>IF(D187&lt;&gt;"",COUNTA($D$173:D187),"")</f>
        <v>15</v>
      </c>
      <c r="C187" s="691"/>
      <c r="D187" s="693">
        <v>2000</v>
      </c>
      <c r="E187" s="693"/>
      <c r="F187" s="694">
        <f t="shared" si="27"/>
        <v>200.76</v>
      </c>
      <c r="G187" s="694">
        <f t="shared" si="28"/>
        <v>180.06</v>
      </c>
      <c r="H187" s="694">
        <f t="shared" si="29"/>
        <v>380.82</v>
      </c>
      <c r="I187" s="697"/>
      <c r="J187" s="694">
        <f t="shared" si="30"/>
        <v>204.25</v>
      </c>
      <c r="K187" s="694">
        <f t="shared" si="31"/>
        <v>180.06</v>
      </c>
      <c r="L187" s="694">
        <f t="shared" si="32"/>
        <v>384.31</v>
      </c>
      <c r="M187" s="697"/>
      <c r="N187" s="694">
        <f t="shared" si="33"/>
        <v>3.4900000000000091</v>
      </c>
      <c r="O187" s="695">
        <f t="shared" si="34"/>
        <v>9.1644346410377844E-3</v>
      </c>
    </row>
    <row r="188" spans="2:15" x14ac:dyDescent="0.2">
      <c r="B188" s="691">
        <f>IF(D188&lt;&gt;"",COUNTA($D$173:D188),"")</f>
        <v>16</v>
      </c>
      <c r="C188" s="691" t="s">
        <v>627</v>
      </c>
      <c r="D188" s="693">
        <v>830</v>
      </c>
      <c r="E188" s="693"/>
      <c r="F188" s="694">
        <f t="shared" si="27"/>
        <v>86.71</v>
      </c>
      <c r="G188" s="694">
        <f t="shared" si="28"/>
        <v>74.72</v>
      </c>
      <c r="H188" s="694">
        <f t="shared" si="29"/>
        <v>161.43</v>
      </c>
      <c r="I188" s="697"/>
      <c r="J188" s="694">
        <f t="shared" si="30"/>
        <v>88.16</v>
      </c>
      <c r="K188" s="694">
        <f t="shared" si="31"/>
        <v>74.72</v>
      </c>
      <c r="L188" s="694">
        <f t="shared" si="32"/>
        <v>162.88</v>
      </c>
      <c r="M188" s="697"/>
      <c r="N188" s="694">
        <f t="shared" si="33"/>
        <v>1.4499999999999886</v>
      </c>
      <c r="O188" s="695">
        <f t="shared" si="34"/>
        <v>8.9822213962707578E-3</v>
      </c>
    </row>
    <row r="189" spans="2:15" ht="15.75" x14ac:dyDescent="0.25">
      <c r="B189" s="691" t="str">
        <f>IF(D189&lt;&gt;"",COUNTA($D$173:D189),"")</f>
        <v/>
      </c>
      <c r="C189" s="691"/>
      <c r="D189" s="698"/>
      <c r="E189" s="699"/>
      <c r="F189" s="699"/>
      <c r="G189" s="699"/>
      <c r="H189" s="700"/>
      <c r="I189" s="699"/>
      <c r="J189" s="699"/>
      <c r="K189" s="699"/>
      <c r="L189" s="700"/>
      <c r="M189" s="700"/>
      <c r="N189"/>
    </row>
    <row r="190" spans="2:15" ht="15.75" x14ac:dyDescent="0.25">
      <c r="B190" s="691" t="str">
        <f>IF(D190&lt;&gt;"",COUNTA($D$173:D190),"")</f>
        <v/>
      </c>
      <c r="C190" s="691"/>
      <c r="D190" s="698"/>
      <c r="E190" s="699"/>
      <c r="F190" s="699"/>
      <c r="G190" s="699"/>
      <c r="H190" s="700"/>
      <c r="I190" s="699"/>
      <c r="J190" s="699"/>
      <c r="K190" s="699"/>
      <c r="L190" s="700"/>
      <c r="M190" s="700"/>
      <c r="N190"/>
    </row>
    <row r="191" spans="2:15" ht="15.75" x14ac:dyDescent="0.25">
      <c r="B191" s="691">
        <f>IF(D191&lt;&gt;"",COUNTA($D$173:D191),"")</f>
        <v>17</v>
      </c>
      <c r="C191" s="691"/>
      <c r="D191" s="701" t="s">
        <v>27</v>
      </c>
      <c r="E191" s="697"/>
      <c r="F191" s="697"/>
      <c r="G191" s="746" t="str">
        <f>$G$28</f>
        <v>2024 Without CVEO</v>
      </c>
      <c r="H191" s="746" t="str">
        <f>$H$28</f>
        <v>2024 With CVEO</v>
      </c>
      <c r="J191" s="773"/>
      <c r="K191" s="697"/>
      <c r="L191" s="697"/>
      <c r="M191" s="697"/>
      <c r="N191"/>
    </row>
    <row r="192" spans="2:15" ht="15.75" x14ac:dyDescent="0.25">
      <c r="B192" s="691">
        <f>IF(D192&lt;&gt;"",COUNTA($D$173:D192),"")</f>
        <v>18</v>
      </c>
      <c r="C192" s="691"/>
      <c r="D192" s="701" t="s">
        <v>27</v>
      </c>
      <c r="E192" s="697"/>
      <c r="F192" s="697"/>
      <c r="G192" s="774" t="s">
        <v>162</v>
      </c>
      <c r="H192" s="774" t="s">
        <v>162</v>
      </c>
      <c r="J192" s="774" t="s">
        <v>626</v>
      </c>
      <c r="K192" s="697"/>
      <c r="L192" s="697"/>
      <c r="M192" s="697"/>
      <c r="N192"/>
    </row>
    <row r="193" spans="2:15" ht="15.75" x14ac:dyDescent="0.25">
      <c r="B193" s="691">
        <f>IF(D193&lt;&gt;"",COUNTA($D$173:D193),"")</f>
        <v>19</v>
      </c>
      <c r="C193" s="691"/>
      <c r="D193" s="690" t="s">
        <v>141</v>
      </c>
      <c r="E193" s="697"/>
      <c r="F193" s="697"/>
      <c r="G193" s="705">
        <v>10</v>
      </c>
      <c r="H193" s="705">
        <v>10</v>
      </c>
      <c r="J193" s="705">
        <f t="shared" ref="J193:J218" si="35">+H193-G193</f>
        <v>0</v>
      </c>
      <c r="K193" s="697"/>
      <c r="L193" s="697"/>
      <c r="M193" s="697"/>
      <c r="N193"/>
    </row>
    <row r="194" spans="2:15" ht="15.75" x14ac:dyDescent="0.25">
      <c r="B194" s="691">
        <f>IF(D194&lt;&gt;"",COUNTA($D$173:D194),"")</f>
        <v>20</v>
      </c>
      <c r="C194" s="691"/>
      <c r="D194" s="690" t="s">
        <v>628</v>
      </c>
      <c r="E194" s="697"/>
      <c r="F194" s="697"/>
      <c r="G194" s="709">
        <v>5.296E-2</v>
      </c>
      <c r="H194" s="709">
        <v>5.296E-2</v>
      </c>
      <c r="J194" s="709">
        <f t="shared" si="35"/>
        <v>0</v>
      </c>
      <c r="K194" s="697"/>
      <c r="L194" s="697"/>
      <c r="M194" s="697"/>
      <c r="N194"/>
    </row>
    <row r="195" spans="2:15" ht="15.75" x14ac:dyDescent="0.25">
      <c r="B195" s="691">
        <f>IF(D195&lt;&gt;"",COUNTA($D$173:D195),"")</f>
        <v>21</v>
      </c>
      <c r="C195" s="691"/>
      <c r="D195" s="690" t="s">
        <v>629</v>
      </c>
      <c r="E195" s="697"/>
      <c r="F195" s="697"/>
      <c r="G195" s="709">
        <v>1.01E-3</v>
      </c>
      <c r="H195" s="709">
        <v>1.01E-3</v>
      </c>
      <c r="J195" s="709">
        <f t="shared" si="35"/>
        <v>0</v>
      </c>
      <c r="K195" s="697"/>
      <c r="L195" s="697"/>
      <c r="M195" s="697"/>
      <c r="N195"/>
    </row>
    <row r="196" spans="2:15" ht="15.75" x14ac:dyDescent="0.25">
      <c r="B196" s="691">
        <f>IF(D196&lt;&gt;"",COUNTA($D$173:D196),"")</f>
        <v>22</v>
      </c>
      <c r="C196" s="691"/>
      <c r="D196" s="690" t="s">
        <v>630</v>
      </c>
      <c r="E196" s="697"/>
      <c r="F196" s="697"/>
      <c r="G196" s="709">
        <v>6.0000000000000002E-5</v>
      </c>
      <c r="H196" s="709">
        <v>6.0000000000000002E-5</v>
      </c>
      <c r="J196" s="709">
        <f t="shared" si="35"/>
        <v>0</v>
      </c>
      <c r="K196" s="697"/>
      <c r="L196" s="697"/>
      <c r="M196" s="697"/>
      <c r="N196"/>
    </row>
    <row r="197" spans="2:15" ht="15.75" x14ac:dyDescent="0.25">
      <c r="B197" s="691">
        <f>IF(D197&lt;&gt;"",COUNTA($D$173:D197),"")</f>
        <v>23</v>
      </c>
      <c r="C197" s="691"/>
      <c r="D197" s="708" t="s">
        <v>631</v>
      </c>
      <c r="E197" s="697"/>
      <c r="F197" s="697"/>
      <c r="G197" s="709">
        <v>8.0000000000000002E-3</v>
      </c>
      <c r="H197" s="709">
        <v>8.0000000000000002E-3</v>
      </c>
      <c r="J197" s="709">
        <f t="shared" si="35"/>
        <v>0</v>
      </c>
      <c r="K197" s="697"/>
      <c r="L197" s="697"/>
      <c r="M197" s="697"/>
      <c r="N197"/>
    </row>
    <row r="198" spans="2:15" ht="15.75" x14ac:dyDescent="0.25">
      <c r="B198" s="691">
        <f>IF(D198&lt;&gt;"",COUNTA($D$173:D198),"")</f>
        <v>24</v>
      </c>
      <c r="C198" s="691"/>
      <c r="D198" s="690" t="s">
        <v>632</v>
      </c>
      <c r="E198" s="697"/>
      <c r="F198" s="697"/>
      <c r="G198" s="709">
        <v>8.1600000000000006E-3</v>
      </c>
      <c r="H198" s="709">
        <v>8.1600000000000006E-3</v>
      </c>
      <c r="J198" s="709">
        <f t="shared" si="35"/>
        <v>0</v>
      </c>
      <c r="K198" s="697"/>
      <c r="L198" s="697"/>
      <c r="M198" s="697"/>
      <c r="N198"/>
    </row>
    <row r="199" spans="2:15" ht="15.75" x14ac:dyDescent="0.25">
      <c r="B199" s="691">
        <f>IF(D199&lt;&gt;"",COUNTA($D$173:D199),"")</f>
        <v>25</v>
      </c>
      <c r="C199" s="691"/>
      <c r="D199" s="690" t="s">
        <v>633</v>
      </c>
      <c r="E199" s="697"/>
      <c r="F199" s="697"/>
      <c r="G199" s="709">
        <v>8.5999999999999998E-4</v>
      </c>
      <c r="H199" s="709">
        <v>8.5999999999999998E-4</v>
      </c>
      <c r="J199" s="709">
        <f t="shared" si="35"/>
        <v>0</v>
      </c>
      <c r="K199" s="697"/>
      <c r="L199" s="697"/>
      <c r="M199" s="697"/>
      <c r="N199"/>
    </row>
    <row r="200" spans="2:15" ht="15.75" x14ac:dyDescent="0.25">
      <c r="B200" s="691">
        <f>IF(D200&lt;&gt;"",COUNTA($D$173:D200),"")</f>
        <v>26</v>
      </c>
      <c r="C200" s="691"/>
      <c r="D200" s="690" t="s">
        <v>634</v>
      </c>
      <c r="E200" s="697"/>
      <c r="F200" s="697"/>
      <c r="G200" s="709">
        <v>1.6219999999999998E-2</v>
      </c>
      <c r="H200" s="709">
        <v>1.6219999999999998E-2</v>
      </c>
      <c r="J200" s="709">
        <f t="shared" si="35"/>
        <v>0</v>
      </c>
      <c r="K200" s="697"/>
      <c r="L200" s="697"/>
      <c r="M200" s="697"/>
      <c r="N200"/>
    </row>
    <row r="201" spans="2:15" ht="15.75" x14ac:dyDescent="0.25">
      <c r="B201" s="691">
        <f>IF(D201&lt;&gt;"",COUNTA($D$173:D201),"")</f>
        <v>27</v>
      </c>
      <c r="C201" s="691"/>
      <c r="D201" s="690" t="s">
        <v>635</v>
      </c>
      <c r="E201" s="697"/>
      <c r="F201" s="697"/>
      <c r="G201" s="709">
        <v>-1.9300000000000001E-3</v>
      </c>
      <c r="H201" s="709">
        <v>-1.9300000000000001E-3</v>
      </c>
      <c r="J201" s="709">
        <f t="shared" si="35"/>
        <v>0</v>
      </c>
      <c r="K201" s="697"/>
      <c r="L201" s="697"/>
      <c r="M201" s="697"/>
      <c r="N201"/>
      <c r="O201" s="687" t="s">
        <v>27</v>
      </c>
    </row>
    <row r="202" spans="2:15" ht="15.75" x14ac:dyDescent="0.25">
      <c r="B202" s="691">
        <f>IF(D202&lt;&gt;"",COUNTA($D$173:D202),"")</f>
        <v>28</v>
      </c>
      <c r="C202" s="691"/>
      <c r="D202" s="690" t="s">
        <v>636</v>
      </c>
      <c r="E202" s="697"/>
      <c r="F202" s="697"/>
      <c r="G202" s="709">
        <v>5.0000000000000002E-5</v>
      </c>
      <c r="H202" s="709">
        <v>5.0000000000000002E-5</v>
      </c>
      <c r="J202" s="709">
        <f t="shared" si="35"/>
        <v>0</v>
      </c>
      <c r="K202" s="697"/>
      <c r="L202" s="697"/>
      <c r="M202" s="697"/>
      <c r="N202"/>
    </row>
    <row r="203" spans="2:15" ht="15.75" x14ac:dyDescent="0.25">
      <c r="B203" s="691">
        <f>IF(D203&lt;&gt;"",COUNTA($D$173:D203),"")</f>
        <v>29</v>
      </c>
      <c r="C203" s="691"/>
      <c r="D203" s="690" t="s">
        <v>637</v>
      </c>
      <c r="E203" s="697"/>
      <c r="F203" s="697"/>
      <c r="G203" s="709">
        <v>6.6299999999999996E-3</v>
      </c>
      <c r="H203" s="709">
        <v>6.6299999999999996E-3</v>
      </c>
      <c r="J203" s="709">
        <f t="shared" si="35"/>
        <v>0</v>
      </c>
      <c r="K203" s="697"/>
      <c r="L203" s="697"/>
      <c r="M203" s="697"/>
      <c r="N203"/>
    </row>
    <row r="204" spans="2:15" ht="15.75" x14ac:dyDescent="0.25">
      <c r="B204" s="691">
        <f>IF(D204&lt;&gt;"",COUNTA($D$173:D204),"")</f>
        <v>30</v>
      </c>
      <c r="C204" s="691"/>
      <c r="D204" s="690" t="s">
        <v>638</v>
      </c>
      <c r="E204" s="697"/>
      <c r="F204" s="697"/>
      <c r="G204" s="709">
        <v>0</v>
      </c>
      <c r="H204" s="709">
        <v>0</v>
      </c>
      <c r="J204" s="709">
        <f t="shared" si="35"/>
        <v>0</v>
      </c>
      <c r="K204" s="697"/>
      <c r="L204" s="697"/>
      <c r="M204" s="697"/>
      <c r="N204"/>
    </row>
    <row r="205" spans="2:15" ht="15.75" x14ac:dyDescent="0.25">
      <c r="B205" s="691">
        <f>IF(D205&lt;&gt;"",COUNTA($D$173:D205),"")</f>
        <v>31</v>
      </c>
      <c r="C205" s="691"/>
      <c r="D205" s="690" t="s">
        <v>639</v>
      </c>
      <c r="E205" s="697"/>
      <c r="F205" s="697"/>
      <c r="G205" s="709">
        <v>-4.6000000000000001E-4</v>
      </c>
      <c r="H205" s="709">
        <v>-4.6000000000000001E-4</v>
      </c>
      <c r="J205" s="709">
        <f t="shared" si="35"/>
        <v>0</v>
      </c>
      <c r="K205" s="697"/>
      <c r="L205" s="697"/>
      <c r="M205" s="697"/>
      <c r="N205"/>
    </row>
    <row r="206" spans="2:15" ht="15.75" x14ac:dyDescent="0.25">
      <c r="B206" s="691">
        <f>IF(D206&lt;&gt;"",COUNTA($D$173:D206),"")</f>
        <v>32</v>
      </c>
      <c r="C206" s="691"/>
      <c r="D206" s="690" t="s">
        <v>640</v>
      </c>
      <c r="E206" s="697"/>
      <c r="F206" s="697"/>
      <c r="G206" s="709">
        <v>2.0000000000000002E-5</v>
      </c>
      <c r="H206" s="709">
        <v>2.0000000000000002E-5</v>
      </c>
      <c r="J206" s="709">
        <f t="shared" si="35"/>
        <v>0</v>
      </c>
      <c r="K206" s="697"/>
      <c r="L206" s="697"/>
      <c r="M206" s="697"/>
      <c r="N206"/>
    </row>
    <row r="207" spans="2:15" ht="15.75" x14ac:dyDescent="0.25">
      <c r="B207" s="691">
        <f>IF(D207&lt;&gt;"",COUNTA($D$173:D207),"")</f>
        <v>33</v>
      </c>
      <c r="C207" s="691"/>
      <c r="D207" s="690" t="s">
        <v>641</v>
      </c>
      <c r="E207" s="697"/>
      <c r="F207" s="697"/>
      <c r="G207" s="709">
        <v>-5.1000000000000004E-4</v>
      </c>
      <c r="H207" s="709">
        <v>-5.1000000000000004E-4</v>
      </c>
      <c r="J207" s="709">
        <f t="shared" si="35"/>
        <v>0</v>
      </c>
      <c r="K207" s="697"/>
      <c r="L207" s="697"/>
      <c r="M207" s="697"/>
      <c r="N207"/>
    </row>
    <row r="208" spans="2:15" ht="15.75" x14ac:dyDescent="0.25">
      <c r="B208" s="691">
        <f>IF(D208&lt;&gt;"",COUNTA($D$173:D208),"")</f>
        <v>34</v>
      </c>
      <c r="C208" s="691"/>
      <c r="D208" s="690" t="s">
        <v>642</v>
      </c>
      <c r="E208" s="697"/>
      <c r="F208" s="697"/>
      <c r="G208" s="709">
        <v>1.9300000000000001E-3</v>
      </c>
      <c r="H208" s="709">
        <v>1.9300000000000001E-3</v>
      </c>
      <c r="J208" s="709">
        <f t="shared" si="35"/>
        <v>0</v>
      </c>
      <c r="K208" s="697"/>
      <c r="L208" s="697"/>
      <c r="M208" s="697"/>
      <c r="N208"/>
    </row>
    <row r="209" spans="2:15" ht="15.75" x14ac:dyDescent="0.25">
      <c r="B209" s="691">
        <f>IF(D209&lt;&gt;"",COUNTA($D$173:D209),"")</f>
        <v>35</v>
      </c>
      <c r="C209" s="691"/>
      <c r="D209" s="690" t="s">
        <v>643</v>
      </c>
      <c r="E209" s="697"/>
      <c r="F209" s="697"/>
      <c r="G209" s="709">
        <v>-1.8E-3</v>
      </c>
      <c r="H209" s="709">
        <v>-1.8E-3</v>
      </c>
      <c r="J209" s="709">
        <f t="shared" si="35"/>
        <v>0</v>
      </c>
      <c r="K209" s="697"/>
      <c r="L209" s="697"/>
      <c r="M209" s="697"/>
      <c r="N209"/>
    </row>
    <row r="210" spans="2:15" ht="15.75" x14ac:dyDescent="0.25">
      <c r="B210" s="691">
        <f>IF(D210&lt;&gt;"",COUNTA($D$173:D210),"")</f>
        <v>36</v>
      </c>
      <c r="C210" s="691"/>
      <c r="D210" s="690" t="s">
        <v>644</v>
      </c>
      <c r="E210" s="697"/>
      <c r="F210" s="697"/>
      <c r="G210" s="709">
        <v>1.89E-3</v>
      </c>
      <c r="H210" s="709">
        <v>1.89E-3</v>
      </c>
      <c r="J210" s="709">
        <f t="shared" si="35"/>
        <v>0</v>
      </c>
      <c r="K210" s="697"/>
      <c r="L210" s="697"/>
      <c r="M210" s="697"/>
      <c r="N210"/>
    </row>
    <row r="211" spans="2:15" ht="15.75" x14ac:dyDescent="0.25">
      <c r="B211" s="691">
        <f>IF(D211&lt;&gt;"",COUNTA($D$173:D211),"")</f>
        <v>37</v>
      </c>
      <c r="C211" s="691"/>
      <c r="D211" s="690" t="s">
        <v>645</v>
      </c>
      <c r="E211" s="697"/>
      <c r="F211" s="697"/>
      <c r="G211" s="709">
        <v>3.1800000000000001E-3</v>
      </c>
      <c r="H211" s="709">
        <v>3.1800000000000001E-3</v>
      </c>
      <c r="J211" s="709">
        <f t="shared" si="35"/>
        <v>0</v>
      </c>
      <c r="K211" s="697"/>
      <c r="L211" s="697"/>
      <c r="M211" s="697"/>
      <c r="N211"/>
    </row>
    <row r="212" spans="2:15" ht="15.75" x14ac:dyDescent="0.25">
      <c r="B212" s="691">
        <f>IF(D212&lt;&gt;"",COUNTA($D$173:D212),"")</f>
        <v>38</v>
      </c>
      <c r="C212" s="691"/>
      <c r="D212" s="690" t="s">
        <v>646</v>
      </c>
      <c r="E212" s="697"/>
      <c r="F212" s="697"/>
      <c r="G212" s="709">
        <v>-3.6999999999999999E-4</v>
      </c>
      <c r="H212" s="709">
        <v>-3.6999999999999999E-4</v>
      </c>
      <c r="J212" s="709">
        <f t="shared" si="35"/>
        <v>0</v>
      </c>
      <c r="K212" s="697"/>
      <c r="L212" s="697"/>
      <c r="M212" s="697"/>
      <c r="N212"/>
    </row>
    <row r="213" spans="2:15" ht="15.75" x14ac:dyDescent="0.25">
      <c r="B213" s="691">
        <f>IF(D213&lt;&gt;"",COUNTA($D$173:D213),"")</f>
        <v>39</v>
      </c>
      <c r="C213" s="691"/>
      <c r="D213" s="690" t="s">
        <v>647</v>
      </c>
      <c r="E213" s="697"/>
      <c r="F213" s="697"/>
      <c r="G213" s="709">
        <v>4.052E-2</v>
      </c>
      <c r="H213" s="709">
        <v>4.052E-2</v>
      </c>
      <c r="J213" s="709">
        <f t="shared" si="35"/>
        <v>0</v>
      </c>
      <c r="K213" s="697"/>
      <c r="L213" s="697"/>
      <c r="M213" s="697"/>
      <c r="N213"/>
    </row>
    <row r="214" spans="2:15" ht="15.75" x14ac:dyDescent="0.25">
      <c r="B214" s="691">
        <f>IF(D214&lt;&gt;"",COUNTA($D$173:D214),"")</f>
        <v>40</v>
      </c>
      <c r="C214" s="691"/>
      <c r="D214" s="690" t="s">
        <v>648</v>
      </c>
      <c r="E214" s="697"/>
      <c r="F214" s="697"/>
      <c r="G214" s="709">
        <f>EES!$E$22</f>
        <v>2.8649999999999998E-2</v>
      </c>
      <c r="H214" s="709">
        <f>EES!$I$22</f>
        <v>3.1660000000000001E-2</v>
      </c>
      <c r="J214" s="709">
        <f t="shared" si="35"/>
        <v>3.0100000000000023E-3</v>
      </c>
      <c r="K214" s="697"/>
      <c r="L214" s="697"/>
      <c r="M214" s="697"/>
      <c r="N214"/>
    </row>
    <row r="215" spans="2:15" ht="15.75" x14ac:dyDescent="0.25">
      <c r="B215" s="691">
        <f>IF(D215&lt;&gt;"",COUNTA($D$173:D215),"")</f>
        <v>41</v>
      </c>
      <c r="C215" s="691"/>
      <c r="D215" s="690" t="s">
        <v>649</v>
      </c>
      <c r="E215" s="697"/>
      <c r="F215" s="697"/>
      <c r="G215" s="709">
        <v>2.5000000000000001E-3</v>
      </c>
      <c r="H215" s="709">
        <v>2.5000000000000001E-3</v>
      </c>
      <c r="J215" s="709">
        <f t="shared" si="35"/>
        <v>0</v>
      </c>
      <c r="K215" s="697"/>
      <c r="L215" s="697"/>
      <c r="M215" s="697"/>
      <c r="N215"/>
    </row>
    <row r="216" spans="2:15" ht="15.75" x14ac:dyDescent="0.25">
      <c r="B216" s="691">
        <f>IF(D216&lt;&gt;"",COUNTA($D$173:D216),"")</f>
        <v>42</v>
      </c>
      <c r="C216" s="691"/>
      <c r="D216" s="690" t="s">
        <v>650</v>
      </c>
      <c r="E216" s="697"/>
      <c r="F216" s="697"/>
      <c r="G216" s="709">
        <v>5.0000000000000001E-4</v>
      </c>
      <c r="H216" s="709">
        <v>5.0000000000000001E-4</v>
      </c>
      <c r="J216" s="709">
        <f t="shared" si="35"/>
        <v>0</v>
      </c>
      <c r="K216" s="697"/>
      <c r="L216" s="697"/>
      <c r="M216" s="697"/>
      <c r="N216"/>
    </row>
    <row r="217" spans="2:15" ht="15.75" x14ac:dyDescent="0.25">
      <c r="B217" s="691">
        <f>IF(D217&lt;&gt;"",COUNTA($D$173:D217),"")</f>
        <v>43</v>
      </c>
      <c r="C217" s="691"/>
      <c r="D217" s="690" t="s">
        <v>651</v>
      </c>
      <c r="E217" s="697"/>
      <c r="F217" s="697"/>
      <c r="G217" s="709">
        <v>0.15522</v>
      </c>
      <c r="H217" s="709">
        <v>0.15522</v>
      </c>
      <c r="J217" s="709">
        <f t="shared" si="35"/>
        <v>0</v>
      </c>
      <c r="K217" s="697"/>
      <c r="L217" s="697"/>
      <c r="M217" s="697"/>
      <c r="N217"/>
    </row>
    <row r="218" spans="2:15" ht="15.75" x14ac:dyDescent="0.25">
      <c r="B218" s="691">
        <f>IF(D218&lt;&gt;"",COUNTA($D$173:D218),"")</f>
        <v>44</v>
      </c>
      <c r="C218" s="691"/>
      <c r="D218" s="690" t="str">
        <f>D109</f>
        <v>Low Income Discount</v>
      </c>
      <c r="E218" s="697"/>
      <c r="F218" s="697"/>
      <c r="G218" s="776">
        <v>0.42</v>
      </c>
      <c r="H218" s="776">
        <v>0.42</v>
      </c>
      <c r="J218" s="776">
        <f t="shared" si="35"/>
        <v>0</v>
      </c>
      <c r="K218" s="697"/>
      <c r="L218" s="697"/>
      <c r="M218" s="697"/>
      <c r="N218"/>
    </row>
    <row r="221" spans="2:15" ht="15.75" x14ac:dyDescent="0.25">
      <c r="B221" s="1070" t="str">
        <f>$B$3</f>
        <v>Cape Light Compact JPE</v>
      </c>
      <c r="C221" s="1070"/>
      <c r="D221" s="1070"/>
      <c r="E221" s="1070"/>
      <c r="F221" s="1070"/>
      <c r="G221" s="1070"/>
      <c r="H221" s="1070"/>
      <c r="I221" s="1070"/>
      <c r="J221" s="1070"/>
      <c r="K221" s="1070"/>
      <c r="L221" s="1070"/>
      <c r="M221" s="1070"/>
      <c r="N221" s="1070"/>
      <c r="O221" s="1070"/>
    </row>
    <row r="222" spans="2:15" ht="15.75" x14ac:dyDescent="0.25">
      <c r="B222" s="1070" t="str">
        <f>$B$4</f>
        <v>Calculation of Monthly Typical Bill</v>
      </c>
      <c r="C222" s="1070"/>
      <c r="D222" s="1070"/>
      <c r="E222" s="1070"/>
      <c r="F222" s="1070"/>
      <c r="G222" s="1070"/>
      <c r="H222" s="1070"/>
      <c r="I222" s="1070"/>
      <c r="J222" s="1070"/>
      <c r="K222" s="1070"/>
      <c r="L222" s="1070"/>
      <c r="M222" s="1070"/>
      <c r="N222" s="1070"/>
      <c r="O222" s="1070"/>
    </row>
    <row r="223" spans="2:15" ht="15.75" x14ac:dyDescent="0.25">
      <c r="B223" s="1070" t="str">
        <f>$B$5</f>
        <v>Illustrative 2024 EES Rates</v>
      </c>
      <c r="C223" s="1070"/>
      <c r="D223" s="1070"/>
      <c r="E223" s="1070"/>
      <c r="F223" s="1070"/>
      <c r="G223" s="1070"/>
      <c r="H223" s="1070"/>
      <c r="I223" s="1070"/>
      <c r="J223" s="1070"/>
      <c r="K223" s="1070"/>
      <c r="L223" s="1070"/>
      <c r="M223" s="1070"/>
      <c r="N223" s="1070"/>
      <c r="O223" s="1070"/>
    </row>
    <row r="224" spans="2:15" ht="15.75" x14ac:dyDescent="0.25">
      <c r="B224" s="714"/>
      <c r="C224" s="714"/>
      <c r="D224" s="701"/>
      <c r="E224" s="715"/>
      <c r="F224" s="777"/>
      <c r="G224" s="778"/>
      <c r="H224" s="701"/>
      <c r="I224" s="701"/>
      <c r="J224" s="701"/>
      <c r="K224" s="701"/>
      <c r="L224" s="701"/>
      <c r="M224" s="701"/>
      <c r="N224" s="701"/>
      <c r="O224" s="701"/>
    </row>
    <row r="225" spans="2:15" ht="15.75" x14ac:dyDescent="0.25">
      <c r="B225" s="1065" t="s">
        <v>603</v>
      </c>
      <c r="C225" s="1065"/>
      <c r="D225" s="1065"/>
      <c r="E225" s="1065"/>
      <c r="F225" s="1065"/>
      <c r="G225" s="1065"/>
      <c r="H225" s="1065"/>
      <c r="I225" s="1065"/>
      <c r="J225" s="1065"/>
      <c r="K225" s="1065"/>
      <c r="L225" s="1065"/>
      <c r="M225" s="1065"/>
      <c r="N225" s="1065"/>
      <c r="O225" s="1065"/>
    </row>
    <row r="226" spans="2:15" ht="15.75" x14ac:dyDescent="0.25">
      <c r="B226" s="716"/>
      <c r="C226" s="716"/>
      <c r="D226" s="701"/>
      <c r="E226" s="701"/>
      <c r="F226" s="701"/>
      <c r="G226" s="779"/>
      <c r="H226" s="701"/>
      <c r="I226"/>
      <c r="J226"/>
      <c r="K226"/>
      <c r="L226"/>
      <c r="M226"/>
      <c r="N226"/>
      <c r="O226"/>
    </row>
    <row r="227" spans="2:15" ht="15.75" x14ac:dyDescent="0.25">
      <c r="B227" s="691"/>
      <c r="C227" s="691"/>
      <c r="D227"/>
      <c r="E227" s="701"/>
      <c r="F227" s="701"/>
      <c r="G227" s="779"/>
      <c r="H227" s="701"/>
      <c r="I227"/>
      <c r="J227"/>
      <c r="K227"/>
      <c r="L227"/>
      <c r="M227"/>
      <c r="N227"/>
      <c r="O227"/>
    </row>
    <row r="228" spans="2:15" ht="15.75" x14ac:dyDescent="0.25">
      <c r="B228" s="691">
        <f>IF(D228&lt;&gt;"",COUNTA($D$228:D228),"")</f>
        <v>1</v>
      </c>
      <c r="C228" s="691"/>
      <c r="D228" s="689" t="s">
        <v>12</v>
      </c>
      <c r="E228" s="689"/>
      <c r="F228" s="1067" t="str">
        <f>$F$10</f>
        <v>2024 Without CVEO</v>
      </c>
      <c r="G228" s="1067"/>
      <c r="H228" s="1067"/>
      <c r="I228" s="690"/>
      <c r="J228" s="1067" t="str">
        <f>$J$10</f>
        <v>2024 With CVEO</v>
      </c>
      <c r="K228" s="1068"/>
      <c r="L228" s="1068"/>
      <c r="M228"/>
      <c r="N228" s="1068" t="str">
        <f>$N$10</f>
        <v>Total Bill Impact</v>
      </c>
      <c r="O228" s="1068"/>
    </row>
    <row r="229" spans="2:15" ht="15.75" x14ac:dyDescent="0.25">
      <c r="B229" s="691">
        <f>IF(D229&lt;&gt;"",COUNTA($D$228:D229),"")</f>
        <v>2</v>
      </c>
      <c r="C229" s="691"/>
      <c r="D229" s="692" t="s">
        <v>158</v>
      </c>
      <c r="E229" s="692"/>
      <c r="F229" s="692" t="str">
        <f>F$11</f>
        <v>Delivery</v>
      </c>
      <c r="G229" s="692" t="str">
        <f>G$11</f>
        <v>Supplier</v>
      </c>
      <c r="H229" s="692" t="str">
        <f>H$11</f>
        <v>Total</v>
      </c>
      <c r="I229" s="690"/>
      <c r="J229" s="692" t="str">
        <f>J$11</f>
        <v>Delivery</v>
      </c>
      <c r="K229" s="692" t="str">
        <f>K$11</f>
        <v>Supplier</v>
      </c>
      <c r="L229" s="692" t="str">
        <f>L$11</f>
        <v>Total</v>
      </c>
      <c r="M229"/>
      <c r="N229" s="692" t="str">
        <f>N$11</f>
        <v>Change</v>
      </c>
      <c r="O229" s="692" t="str">
        <f>O$11</f>
        <v>% Change</v>
      </c>
    </row>
    <row r="230" spans="2:15" x14ac:dyDescent="0.2">
      <c r="B230" s="691">
        <f>IF(D230&lt;&gt;"",COUNTA($D$228:D230),"")</f>
        <v>3</v>
      </c>
      <c r="C230" s="691"/>
      <c r="D230" s="693">
        <v>5</v>
      </c>
      <c r="E230" s="693"/>
      <c r="F230" s="694">
        <f t="shared" ref="F230:F240" si="36">ROUND(SUM($G$246:$G$268)*D230,2)+G$245</f>
        <v>15.61</v>
      </c>
      <c r="G230" s="694">
        <f t="shared" ref="G230:G240" si="37">ROUND($G$269*D230,2)</f>
        <v>0.77</v>
      </c>
      <c r="H230" s="694">
        <f t="shared" ref="H230:H240" si="38">SUM(F230:G230)</f>
        <v>16.38</v>
      </c>
      <c r="I230" s="694"/>
      <c r="J230" s="694">
        <f t="shared" ref="J230:J240" si="39">ROUND(SUM($H$246:$H$268)*D230,2)+H$245</f>
        <v>15.62</v>
      </c>
      <c r="K230" s="694">
        <f t="shared" ref="K230:K240" si="40">ROUND($H$269*D230,2)</f>
        <v>0.77</v>
      </c>
      <c r="L230" s="694">
        <f t="shared" ref="L230:L240" si="41">SUM(J230:K230)</f>
        <v>16.39</v>
      </c>
      <c r="M230" s="697"/>
      <c r="N230" s="694">
        <f t="shared" ref="N230:N240" si="42">+L230-H230</f>
        <v>1.0000000000001563E-2</v>
      </c>
      <c r="O230" s="695">
        <f t="shared" ref="O230:O240" si="43">+N230/H230</f>
        <v>6.1050061050070602E-4</v>
      </c>
    </row>
    <row r="231" spans="2:15" x14ac:dyDescent="0.2">
      <c r="B231" s="691">
        <f>IF(D231&lt;&gt;"",COUNTA($D$228:D231),"")</f>
        <v>4</v>
      </c>
      <c r="C231" s="691"/>
      <c r="D231" s="693">
        <v>30</v>
      </c>
      <c r="E231" s="693"/>
      <c r="F231" s="694">
        <f t="shared" si="36"/>
        <v>18.64</v>
      </c>
      <c r="G231" s="694">
        <f t="shared" si="37"/>
        <v>4.62</v>
      </c>
      <c r="H231" s="694">
        <f t="shared" si="38"/>
        <v>23.26</v>
      </c>
      <c r="I231" s="697"/>
      <c r="J231" s="694">
        <f t="shared" si="39"/>
        <v>18.71</v>
      </c>
      <c r="K231" s="694">
        <f t="shared" si="40"/>
        <v>4.62</v>
      </c>
      <c r="L231" s="694">
        <f t="shared" si="41"/>
        <v>23.330000000000002</v>
      </c>
      <c r="M231" s="697"/>
      <c r="N231" s="694">
        <f t="shared" si="42"/>
        <v>7.0000000000000284E-2</v>
      </c>
      <c r="O231" s="695">
        <f t="shared" si="43"/>
        <v>3.0094582975064609E-3</v>
      </c>
    </row>
    <row r="232" spans="2:15" x14ac:dyDescent="0.2">
      <c r="B232" s="691">
        <f>IF(D232&lt;&gt;"",COUNTA($D$228:D232),"")</f>
        <v>5</v>
      </c>
      <c r="C232" s="691"/>
      <c r="D232" s="693">
        <v>80</v>
      </c>
      <c r="E232" s="693"/>
      <c r="F232" s="694">
        <f t="shared" si="36"/>
        <v>24.71</v>
      </c>
      <c r="G232" s="694">
        <f t="shared" si="37"/>
        <v>12.33</v>
      </c>
      <c r="H232" s="694">
        <f t="shared" si="38"/>
        <v>37.04</v>
      </c>
      <c r="I232" s="697"/>
      <c r="J232" s="694">
        <f t="shared" si="39"/>
        <v>24.880000000000003</v>
      </c>
      <c r="K232" s="694">
        <f t="shared" si="40"/>
        <v>12.33</v>
      </c>
      <c r="L232" s="694">
        <f t="shared" si="41"/>
        <v>37.21</v>
      </c>
      <c r="M232" s="697"/>
      <c r="N232" s="694">
        <f t="shared" si="42"/>
        <v>0.17000000000000171</v>
      </c>
      <c r="O232" s="695">
        <f t="shared" si="43"/>
        <v>4.5896328293736962E-3</v>
      </c>
    </row>
    <row r="233" spans="2:15" x14ac:dyDescent="0.2">
      <c r="B233" s="691">
        <f>IF(D233&lt;&gt;"",COUNTA($D$228:D233),"")</f>
        <v>6</v>
      </c>
      <c r="C233" s="691"/>
      <c r="D233" s="693">
        <v>150</v>
      </c>
      <c r="E233" s="693"/>
      <c r="F233" s="694">
        <f t="shared" si="36"/>
        <v>33.200000000000003</v>
      </c>
      <c r="G233" s="694">
        <f t="shared" si="37"/>
        <v>23.12</v>
      </c>
      <c r="H233" s="694">
        <f t="shared" si="38"/>
        <v>56.320000000000007</v>
      </c>
      <c r="I233" s="697"/>
      <c r="J233" s="694">
        <f t="shared" si="39"/>
        <v>33.53</v>
      </c>
      <c r="K233" s="694">
        <f t="shared" si="40"/>
        <v>23.12</v>
      </c>
      <c r="L233" s="694">
        <f t="shared" si="41"/>
        <v>56.650000000000006</v>
      </c>
      <c r="M233" s="697"/>
      <c r="N233" s="694">
        <f t="shared" si="42"/>
        <v>0.32999999999999829</v>
      </c>
      <c r="O233" s="695">
        <f t="shared" si="43"/>
        <v>5.8593749999999688E-3</v>
      </c>
    </row>
    <row r="234" spans="2:15" x14ac:dyDescent="0.2">
      <c r="B234" s="691">
        <f>IF(D234&lt;&gt;"",COUNTA($D$228:D234),"")</f>
        <v>7</v>
      </c>
      <c r="C234" s="691"/>
      <c r="D234" s="693">
        <v>275</v>
      </c>
      <c r="E234" s="693"/>
      <c r="F234" s="694">
        <f t="shared" si="36"/>
        <v>48.37</v>
      </c>
      <c r="G234" s="694">
        <f t="shared" si="37"/>
        <v>42.39</v>
      </c>
      <c r="H234" s="694">
        <f t="shared" si="38"/>
        <v>90.759999999999991</v>
      </c>
      <c r="I234" s="697"/>
      <c r="J234" s="694">
        <f t="shared" si="39"/>
        <v>48.97</v>
      </c>
      <c r="K234" s="694">
        <f t="shared" si="40"/>
        <v>42.39</v>
      </c>
      <c r="L234" s="694">
        <f t="shared" si="41"/>
        <v>91.36</v>
      </c>
      <c r="M234" s="697"/>
      <c r="N234" s="694">
        <f t="shared" si="42"/>
        <v>0.60000000000000853</v>
      </c>
      <c r="O234" s="695">
        <f t="shared" si="43"/>
        <v>6.6108417805201478E-3</v>
      </c>
    </row>
    <row r="235" spans="2:15" x14ac:dyDescent="0.2">
      <c r="B235" s="691">
        <f>IF(D235&lt;&gt;"",COUNTA($D$228:D235),"")</f>
        <v>8</v>
      </c>
      <c r="C235" s="691"/>
      <c r="D235" s="693">
        <v>500</v>
      </c>
      <c r="E235" s="693"/>
      <c r="F235" s="694">
        <f t="shared" si="36"/>
        <v>75.67</v>
      </c>
      <c r="G235" s="694">
        <f t="shared" si="37"/>
        <v>77.08</v>
      </c>
      <c r="H235" s="694">
        <f t="shared" si="38"/>
        <v>152.75</v>
      </c>
      <c r="I235" s="697"/>
      <c r="J235" s="694">
        <f t="shared" si="39"/>
        <v>76.77000000000001</v>
      </c>
      <c r="K235" s="694">
        <f t="shared" si="40"/>
        <v>77.08</v>
      </c>
      <c r="L235" s="694">
        <f t="shared" si="41"/>
        <v>153.85000000000002</v>
      </c>
      <c r="M235" s="697"/>
      <c r="N235" s="694">
        <f t="shared" si="42"/>
        <v>1.1000000000000227</v>
      </c>
      <c r="O235" s="695">
        <f t="shared" si="43"/>
        <v>7.201309328969052E-3</v>
      </c>
    </row>
    <row r="236" spans="2:15" x14ac:dyDescent="0.2">
      <c r="B236" s="691">
        <f>IF(D236&lt;&gt;"",COUNTA($D$228:D236),"")</f>
        <v>9</v>
      </c>
      <c r="C236" s="691"/>
      <c r="D236" s="693">
        <v>750</v>
      </c>
      <c r="E236" s="693"/>
      <c r="F236" s="694">
        <f t="shared" si="36"/>
        <v>106.01</v>
      </c>
      <c r="G236" s="694">
        <f t="shared" si="37"/>
        <v>115.62</v>
      </c>
      <c r="H236" s="694">
        <f t="shared" si="38"/>
        <v>221.63</v>
      </c>
      <c r="I236" s="697"/>
      <c r="J236" s="694">
        <f t="shared" si="39"/>
        <v>107.66</v>
      </c>
      <c r="K236" s="694">
        <f t="shared" si="40"/>
        <v>115.62</v>
      </c>
      <c r="L236" s="694">
        <f t="shared" si="41"/>
        <v>223.28</v>
      </c>
      <c r="M236" s="697"/>
      <c r="N236" s="694">
        <f t="shared" si="42"/>
        <v>1.6500000000000057</v>
      </c>
      <c r="O236" s="695">
        <f t="shared" si="43"/>
        <v>7.4448404999323458E-3</v>
      </c>
    </row>
    <row r="237" spans="2:15" x14ac:dyDescent="0.2">
      <c r="B237" s="691">
        <f>IF(D237&lt;&gt;"",COUNTA($D$228:D237),"")</f>
        <v>10</v>
      </c>
      <c r="C237" s="691"/>
      <c r="D237" s="693">
        <v>1250</v>
      </c>
      <c r="E237" s="693"/>
      <c r="F237" s="694">
        <f t="shared" si="36"/>
        <v>166.68</v>
      </c>
      <c r="G237" s="694">
        <f t="shared" si="37"/>
        <v>192.7</v>
      </c>
      <c r="H237" s="694">
        <f t="shared" si="38"/>
        <v>359.38</v>
      </c>
      <c r="I237" s="697"/>
      <c r="J237" s="694">
        <f t="shared" si="39"/>
        <v>169.43</v>
      </c>
      <c r="K237" s="694">
        <f t="shared" si="40"/>
        <v>192.7</v>
      </c>
      <c r="L237" s="694">
        <f t="shared" si="41"/>
        <v>362.13</v>
      </c>
      <c r="M237" s="697"/>
      <c r="N237" s="694">
        <f t="shared" si="42"/>
        <v>2.75</v>
      </c>
      <c r="O237" s="695">
        <f t="shared" si="43"/>
        <v>7.6520674494963553E-3</v>
      </c>
    </row>
    <row r="238" spans="2:15" x14ac:dyDescent="0.2">
      <c r="B238" s="691">
        <f>IF(D238&lt;&gt;"",COUNTA($D$228:D238),"")</f>
        <v>11</v>
      </c>
      <c r="C238" s="691"/>
      <c r="D238" s="693">
        <v>2500</v>
      </c>
      <c r="E238" s="693"/>
      <c r="F238" s="694">
        <f t="shared" si="36"/>
        <v>318.35000000000002</v>
      </c>
      <c r="G238" s="694">
        <f t="shared" si="37"/>
        <v>385.4</v>
      </c>
      <c r="H238" s="694">
        <f t="shared" si="38"/>
        <v>703.75</v>
      </c>
      <c r="I238" s="697"/>
      <c r="J238" s="694">
        <f t="shared" si="39"/>
        <v>323.85000000000002</v>
      </c>
      <c r="K238" s="694">
        <f t="shared" si="40"/>
        <v>385.4</v>
      </c>
      <c r="L238" s="694">
        <f t="shared" si="41"/>
        <v>709.25</v>
      </c>
      <c r="M238" s="697"/>
      <c r="N238" s="694">
        <f t="shared" si="42"/>
        <v>5.5</v>
      </c>
      <c r="O238" s="695">
        <f t="shared" si="43"/>
        <v>7.8152753108348127E-3</v>
      </c>
    </row>
    <row r="239" spans="2:15" x14ac:dyDescent="0.2">
      <c r="B239" s="691">
        <f>IF(D239&lt;&gt;"",COUNTA($D$228:D239),"")</f>
        <v>12</v>
      </c>
      <c r="C239" s="691"/>
      <c r="D239" s="693">
        <v>10000</v>
      </c>
      <c r="E239" s="693"/>
      <c r="F239" s="694">
        <f t="shared" si="36"/>
        <v>1228.4000000000001</v>
      </c>
      <c r="G239" s="694">
        <f t="shared" si="37"/>
        <v>1541.6</v>
      </c>
      <c r="H239" s="694">
        <f t="shared" si="38"/>
        <v>2770</v>
      </c>
      <c r="I239" s="697"/>
      <c r="J239" s="694">
        <f t="shared" si="39"/>
        <v>1250.4000000000001</v>
      </c>
      <c r="K239" s="694">
        <f t="shared" si="40"/>
        <v>1541.6</v>
      </c>
      <c r="L239" s="694">
        <f t="shared" si="41"/>
        <v>2792</v>
      </c>
      <c r="M239" s="697"/>
      <c r="N239" s="694">
        <f t="shared" si="42"/>
        <v>22</v>
      </c>
      <c r="O239" s="695">
        <f t="shared" si="43"/>
        <v>7.9422382671480145E-3</v>
      </c>
    </row>
    <row r="240" spans="2:15" x14ac:dyDescent="0.2">
      <c r="B240" s="691">
        <f>IF(D240&lt;&gt;"",COUNTA($D$228:D240),"")</f>
        <v>13</v>
      </c>
      <c r="C240" s="691" t="s">
        <v>627</v>
      </c>
      <c r="D240" s="693">
        <v>1650</v>
      </c>
      <c r="E240" s="693"/>
      <c r="F240" s="694">
        <f t="shared" si="36"/>
        <v>215.21</v>
      </c>
      <c r="G240" s="694">
        <f t="shared" si="37"/>
        <v>254.36</v>
      </c>
      <c r="H240" s="694">
        <f t="shared" si="38"/>
        <v>469.57000000000005</v>
      </c>
      <c r="I240" s="697"/>
      <c r="J240" s="694">
        <f t="shared" si="39"/>
        <v>218.84</v>
      </c>
      <c r="K240" s="694">
        <f t="shared" si="40"/>
        <v>254.36</v>
      </c>
      <c r="L240" s="694">
        <f t="shared" si="41"/>
        <v>473.20000000000005</v>
      </c>
      <c r="M240" s="697"/>
      <c r="N240" s="694">
        <f t="shared" si="42"/>
        <v>3.6299999999999955</v>
      </c>
      <c r="O240" s="695">
        <f t="shared" si="43"/>
        <v>7.7304768192175714E-3</v>
      </c>
    </row>
    <row r="241" spans="2:15" x14ac:dyDescent="0.2">
      <c r="B241" s="691" t="str">
        <f>IF(D241&lt;&gt;"",COUNTA($D$228:D241),"")</f>
        <v/>
      </c>
      <c r="D241" s="693"/>
      <c r="E241" s="693"/>
      <c r="F241" s="694"/>
      <c r="G241" s="694"/>
      <c r="H241" s="694"/>
      <c r="I241" s="697"/>
      <c r="J241" s="694"/>
      <c r="K241" s="694"/>
      <c r="L241" s="694"/>
      <c r="M241" s="697"/>
      <c r="N241" s="694"/>
      <c r="O241" s="695"/>
    </row>
    <row r="242" spans="2:15" x14ac:dyDescent="0.2">
      <c r="B242" s="691" t="str">
        <f>IF(D242&lt;&gt;"",COUNTA($D$228:D242),"")</f>
        <v/>
      </c>
      <c r="C242" s="691"/>
      <c r="D242" s="717"/>
      <c r="E242" s="717"/>
      <c r="F242" s="718"/>
      <c r="G242" s="718"/>
      <c r="H242" s="719"/>
      <c r="I242" s="718"/>
      <c r="J242" s="718"/>
      <c r="K242" s="718"/>
      <c r="L242" s="719"/>
      <c r="M242" s="718"/>
      <c r="N242" s="720"/>
    </row>
    <row r="243" spans="2:15" ht="15.75" x14ac:dyDescent="0.25">
      <c r="B243" s="691">
        <f>IF(D243&lt;&gt;"",COUNTA($D$228:D243),"")</f>
        <v>14</v>
      </c>
      <c r="C243" s="691"/>
      <c r="D243" s="701" t="s">
        <v>27</v>
      </c>
      <c r="E243" s="701"/>
      <c r="F243" s="719"/>
      <c r="G243" s="746" t="str">
        <f>$G$28</f>
        <v>2024 Without CVEO</v>
      </c>
      <c r="I243" s="746" t="str">
        <f>$H$28</f>
        <v>2024 With CVEO</v>
      </c>
      <c r="J243" s="719"/>
      <c r="K243" s="719"/>
      <c r="L243" s="719"/>
      <c r="M243" s="719"/>
      <c r="N243"/>
    </row>
    <row r="244" spans="2:15" ht="17.25" x14ac:dyDescent="0.35">
      <c r="B244" s="691">
        <f>IF(D244&lt;&gt;"",COUNTA($D$228:D244),"")</f>
        <v>15</v>
      </c>
      <c r="C244" s="691"/>
      <c r="D244" s="721" t="s">
        <v>27</v>
      </c>
      <c r="E244" s="701"/>
      <c r="F244" s="719"/>
      <c r="G244" s="747" t="s">
        <v>162</v>
      </c>
      <c r="H244" s="747"/>
      <c r="I244" s="747" t="s">
        <v>162</v>
      </c>
      <c r="J244" s="747" t="s">
        <v>626</v>
      </c>
      <c r="K244" s="719"/>
      <c r="L244" s="719"/>
      <c r="M244" s="719"/>
      <c r="N244"/>
    </row>
    <row r="245" spans="2:15" ht="15.75" x14ac:dyDescent="0.25">
      <c r="B245" s="691">
        <f>IF(D245&lt;&gt;"",COUNTA($D$228:D245),"")</f>
        <v>16</v>
      </c>
      <c r="C245" s="691"/>
      <c r="D245" s="701" t="s">
        <v>141</v>
      </c>
      <c r="E245" s="721"/>
      <c r="F245" s="719"/>
      <c r="G245" s="705">
        <v>15</v>
      </c>
      <c r="H245" s="705">
        <v>15</v>
      </c>
      <c r="J245" s="705">
        <f t="shared" ref="J245:J269" si="44">H245-G245</f>
        <v>0</v>
      </c>
      <c r="K245" s="719"/>
      <c r="L245" s="719"/>
      <c r="M245"/>
    </row>
    <row r="246" spans="2:15" ht="15.75" x14ac:dyDescent="0.25">
      <c r="B246" s="691">
        <f>IF(D246&lt;&gt;"",COUNTA($D$228:D246),"")</f>
        <v>17</v>
      </c>
      <c r="C246" s="691"/>
      <c r="D246" s="701" t="s">
        <v>628</v>
      </c>
      <c r="E246" s="721"/>
      <c r="F246" s="719"/>
      <c r="G246" s="709">
        <v>3.7589999999999998E-2</v>
      </c>
      <c r="H246" s="709">
        <v>3.7589999999999998E-2</v>
      </c>
      <c r="J246" s="709">
        <f t="shared" si="44"/>
        <v>0</v>
      </c>
      <c r="K246" s="719"/>
      <c r="L246" s="719"/>
      <c r="M246"/>
    </row>
    <row r="247" spans="2:15" ht="15.75" x14ac:dyDescent="0.25">
      <c r="B247" s="691">
        <f>IF(D247&lt;&gt;"",COUNTA($D$228:D247),"")</f>
        <v>18</v>
      </c>
      <c r="C247" s="691"/>
      <c r="D247" s="701" t="s">
        <v>629</v>
      </c>
      <c r="E247"/>
      <c r="F247" s="719"/>
      <c r="G247" s="709">
        <v>7.5000000000000002E-4</v>
      </c>
      <c r="H247" s="709">
        <v>7.5000000000000002E-4</v>
      </c>
      <c r="J247" s="709">
        <f t="shared" si="44"/>
        <v>0</v>
      </c>
      <c r="K247" s="719"/>
      <c r="L247" s="719"/>
      <c r="M247"/>
    </row>
    <row r="248" spans="2:15" ht="15.75" x14ac:dyDescent="0.25">
      <c r="B248" s="691">
        <f>IF(D248&lt;&gt;"",COUNTA($D$228:D248),"")</f>
        <v>19</v>
      </c>
      <c r="C248" s="691"/>
      <c r="D248" s="701" t="s">
        <v>630</v>
      </c>
      <c r="E248"/>
      <c r="F248" s="719"/>
      <c r="G248" s="709">
        <v>4.0000000000000003E-5</v>
      </c>
      <c r="H248" s="709">
        <v>4.0000000000000003E-5</v>
      </c>
      <c r="J248" s="709">
        <f t="shared" si="44"/>
        <v>0</v>
      </c>
      <c r="K248" s="719"/>
      <c r="L248" s="719"/>
      <c r="M248"/>
    </row>
    <row r="249" spans="2:15" ht="15.75" x14ac:dyDescent="0.25">
      <c r="B249" s="691">
        <f>IF(D249&lt;&gt;"",COUNTA($D$228:D249),"")</f>
        <v>20</v>
      </c>
      <c r="C249" s="691"/>
      <c r="D249" s="708" t="s">
        <v>631</v>
      </c>
      <c r="E249" s="721"/>
      <c r="F249" s="719"/>
      <c r="G249" s="709">
        <v>5.8999999999999999E-3</v>
      </c>
      <c r="H249" s="709">
        <v>5.8999999999999999E-3</v>
      </c>
      <c r="J249" s="709">
        <f t="shared" si="44"/>
        <v>0</v>
      </c>
      <c r="K249" s="719"/>
      <c r="L249" s="719"/>
      <c r="M249"/>
    </row>
    <row r="250" spans="2:15" ht="15.75" x14ac:dyDescent="0.25">
      <c r="B250" s="691">
        <f>IF(D250&lt;&gt;"",COUNTA($D$228:D250),"")</f>
        <v>21</v>
      </c>
      <c r="C250" s="691"/>
      <c r="D250" s="701" t="s">
        <v>632</v>
      </c>
      <c r="E250" s="721"/>
      <c r="F250" s="719"/>
      <c r="G250" s="709">
        <v>6.0200000000000002E-3</v>
      </c>
      <c r="H250" s="709">
        <v>6.0200000000000002E-3</v>
      </c>
      <c r="J250" s="709">
        <f t="shared" si="44"/>
        <v>0</v>
      </c>
      <c r="K250" s="719"/>
      <c r="L250" s="719"/>
      <c r="M250"/>
    </row>
    <row r="251" spans="2:15" ht="15.75" x14ac:dyDescent="0.25">
      <c r="B251" s="691">
        <f>IF(D251&lt;&gt;"",COUNTA($D$228:D251),"")</f>
        <v>22</v>
      </c>
      <c r="C251" s="691"/>
      <c r="D251" s="701" t="s">
        <v>633</v>
      </c>
      <c r="E251" s="721"/>
      <c r="F251" s="719"/>
      <c r="G251" s="709">
        <v>5.8E-4</v>
      </c>
      <c r="H251" s="709">
        <v>5.8E-4</v>
      </c>
      <c r="J251" s="709">
        <f t="shared" si="44"/>
        <v>0</v>
      </c>
      <c r="K251" s="719"/>
      <c r="L251" s="719"/>
      <c r="M251"/>
    </row>
    <row r="252" spans="2:15" ht="15.75" x14ac:dyDescent="0.25">
      <c r="B252" s="691">
        <f>IF(D252&lt;&gt;"",COUNTA($D$228:D252),"")</f>
        <v>23</v>
      </c>
      <c r="C252" s="691"/>
      <c r="D252" s="701" t="s">
        <v>634</v>
      </c>
      <c r="E252" s="721"/>
      <c r="F252" s="719"/>
      <c r="G252" s="709">
        <v>1.197E-2</v>
      </c>
      <c r="H252" s="709">
        <v>1.197E-2</v>
      </c>
      <c r="J252" s="709">
        <f t="shared" si="44"/>
        <v>0</v>
      </c>
      <c r="K252" s="719"/>
      <c r="L252" s="719"/>
      <c r="M252"/>
    </row>
    <row r="253" spans="2:15" ht="15.75" x14ac:dyDescent="0.25">
      <c r="B253" s="691">
        <f>IF(D253&lt;&gt;"",COUNTA($D$228:D253),"")</f>
        <v>24</v>
      </c>
      <c r="C253" s="691"/>
      <c r="D253" s="701" t="s">
        <v>635</v>
      </c>
      <c r="E253" s="721"/>
      <c r="F253" s="719"/>
      <c r="G253" s="709">
        <v>-1.9300000000000001E-3</v>
      </c>
      <c r="H253" s="709">
        <v>-1.9300000000000001E-3</v>
      </c>
      <c r="J253" s="709">
        <f t="shared" si="44"/>
        <v>0</v>
      </c>
      <c r="K253" s="719"/>
      <c r="L253" s="719" t="s">
        <v>27</v>
      </c>
      <c r="M253"/>
    </row>
    <row r="254" spans="2:15" ht="15.75" x14ac:dyDescent="0.25">
      <c r="B254" s="691">
        <f>IF(D254&lt;&gt;"",COUNTA($D$228:D254),"")</f>
        <v>25</v>
      </c>
      <c r="C254" s="691"/>
      <c r="D254" s="701" t="s">
        <v>636</v>
      </c>
      <c r="E254" s="721"/>
      <c r="F254" s="719"/>
      <c r="G254" s="709">
        <v>4.0000000000000003E-5</v>
      </c>
      <c r="H254" s="709">
        <v>4.0000000000000003E-5</v>
      </c>
      <c r="J254" s="709">
        <f t="shared" si="44"/>
        <v>0</v>
      </c>
      <c r="K254" s="719"/>
      <c r="L254" s="719"/>
      <c r="M254"/>
    </row>
    <row r="255" spans="2:15" ht="15.75" x14ac:dyDescent="0.25">
      <c r="B255" s="691">
        <f>IF(D255&lt;&gt;"",COUNTA($D$228:D255),"")</f>
        <v>26</v>
      </c>
      <c r="C255" s="691"/>
      <c r="D255" s="701" t="s">
        <v>637</v>
      </c>
      <c r="E255" s="721"/>
      <c r="F255" s="719"/>
      <c r="G255" s="709">
        <v>4.8900000000000002E-3</v>
      </c>
      <c r="H255" s="709">
        <v>4.8900000000000002E-3</v>
      </c>
      <c r="J255" s="709">
        <f t="shared" si="44"/>
        <v>0</v>
      </c>
      <c r="K255" s="719"/>
      <c r="L255" s="719"/>
      <c r="M255"/>
    </row>
    <row r="256" spans="2:15" ht="15.75" x14ac:dyDescent="0.25">
      <c r="B256" s="691">
        <f>IF(D256&lt;&gt;"",COUNTA($D$228:D256),"")</f>
        <v>27</v>
      </c>
      <c r="C256" s="691"/>
      <c r="D256" s="701" t="s">
        <v>638</v>
      </c>
      <c r="E256" s="721"/>
      <c r="F256" s="719"/>
      <c r="G256" s="709">
        <v>0</v>
      </c>
      <c r="H256" s="709">
        <v>0</v>
      </c>
      <c r="J256" s="709">
        <f t="shared" si="44"/>
        <v>0</v>
      </c>
      <c r="K256" s="719"/>
      <c r="L256" s="719"/>
      <c r="M256"/>
    </row>
    <row r="257" spans="2:15" ht="15.75" x14ac:dyDescent="0.25">
      <c r="B257" s="691">
        <f>IF(D257&lt;&gt;"",COUNTA($D$228:D257),"")</f>
        <v>28</v>
      </c>
      <c r="C257" s="691"/>
      <c r="D257" s="701" t="s">
        <v>639</v>
      </c>
      <c r="E257" s="721"/>
      <c r="F257" s="719"/>
      <c r="G257" s="709">
        <v>-3.4000000000000002E-4</v>
      </c>
      <c r="H257" s="709">
        <v>-3.4000000000000002E-4</v>
      </c>
      <c r="J257" s="709">
        <f t="shared" si="44"/>
        <v>0</v>
      </c>
      <c r="K257" s="719"/>
      <c r="L257" s="719"/>
      <c r="M257"/>
    </row>
    <row r="258" spans="2:15" ht="15.75" x14ac:dyDescent="0.25">
      <c r="B258" s="691">
        <f>IF(D258&lt;&gt;"",COUNTA($D$228:D258),"")</f>
        <v>29</v>
      </c>
      <c r="C258" s="691"/>
      <c r="D258" s="701" t="s">
        <v>640</v>
      </c>
      <c r="E258"/>
      <c r="F258" s="719"/>
      <c r="G258" s="709">
        <v>1.0000000000000001E-5</v>
      </c>
      <c r="H258" s="709">
        <v>1.0000000000000001E-5</v>
      </c>
      <c r="J258" s="709">
        <f t="shared" si="44"/>
        <v>0</v>
      </c>
      <c r="K258" s="719"/>
      <c r="L258" s="719"/>
      <c r="M258"/>
    </row>
    <row r="259" spans="2:15" ht="15.75" x14ac:dyDescent="0.25">
      <c r="B259" s="691">
        <f>IF(D259&lt;&gt;"",COUNTA($D$228:D259),"")</f>
        <v>30</v>
      </c>
      <c r="C259" s="691"/>
      <c r="D259" s="701" t="s">
        <v>641</v>
      </c>
      <c r="E259" s="721"/>
      <c r="F259" s="719"/>
      <c r="G259" s="709">
        <v>-3.6999999999999999E-4</v>
      </c>
      <c r="H259" s="709">
        <v>-3.6999999999999999E-4</v>
      </c>
      <c r="J259" s="709">
        <f t="shared" si="44"/>
        <v>0</v>
      </c>
      <c r="K259" s="719"/>
      <c r="L259" s="719"/>
      <c r="M259"/>
    </row>
    <row r="260" spans="2:15" ht="15.75" x14ac:dyDescent="0.25">
      <c r="B260" s="691">
        <f>IF(D260&lt;&gt;"",COUNTA($D$228:D260),"")</f>
        <v>31</v>
      </c>
      <c r="C260" s="691"/>
      <c r="D260" s="701" t="s">
        <v>642</v>
      </c>
      <c r="E260" s="721"/>
      <c r="F260" s="719"/>
      <c r="G260" s="709">
        <v>1.2999999999999999E-3</v>
      </c>
      <c r="H260" s="709">
        <v>1.2999999999999999E-3</v>
      </c>
      <c r="J260" s="709">
        <f t="shared" si="44"/>
        <v>0</v>
      </c>
      <c r="K260" s="719"/>
      <c r="L260" s="719"/>
      <c r="M260"/>
    </row>
    <row r="261" spans="2:15" ht="15.75" x14ac:dyDescent="0.25">
      <c r="B261" s="691">
        <f>IF(D261&lt;&gt;"",COUNTA($D$228:D261),"")</f>
        <v>32</v>
      </c>
      <c r="C261" s="691"/>
      <c r="D261" s="701" t="s">
        <v>643</v>
      </c>
      <c r="E261" s="721"/>
      <c r="F261" s="719"/>
      <c r="G261" s="709">
        <v>-1.33E-3</v>
      </c>
      <c r="H261" s="709">
        <v>-1.33E-3</v>
      </c>
      <c r="J261" s="709">
        <f t="shared" si="44"/>
        <v>0</v>
      </c>
      <c r="K261" s="719"/>
      <c r="L261" s="719"/>
      <c r="M261"/>
    </row>
    <row r="262" spans="2:15" ht="15.75" x14ac:dyDescent="0.25">
      <c r="B262" s="691">
        <f>IF(D262&lt;&gt;"",COUNTA($D$228:D262),"")</f>
        <v>33</v>
      </c>
      <c r="C262" s="691"/>
      <c r="D262" s="701" t="s">
        <v>644</v>
      </c>
      <c r="E262" s="721"/>
      <c r="F262" s="719"/>
      <c r="G262" s="709">
        <v>1.34E-3</v>
      </c>
      <c r="H262" s="709">
        <v>1.34E-3</v>
      </c>
      <c r="J262" s="709">
        <f t="shared" si="44"/>
        <v>0</v>
      </c>
      <c r="K262" s="719"/>
      <c r="L262" s="719"/>
      <c r="M262"/>
    </row>
    <row r="263" spans="2:15" ht="15.75" x14ac:dyDescent="0.25">
      <c r="B263" s="691">
        <f>IF(D263&lt;&gt;"",COUNTA($D$228:D263),"")</f>
        <v>34</v>
      </c>
      <c r="C263" s="691"/>
      <c r="D263" s="701" t="s">
        <v>645</v>
      </c>
      <c r="E263" s="721"/>
      <c r="F263" s="719"/>
      <c r="G263" s="709">
        <v>2.2200000000000002E-3</v>
      </c>
      <c r="H263" s="709">
        <v>2.2200000000000002E-3</v>
      </c>
      <c r="J263" s="709">
        <f t="shared" si="44"/>
        <v>0</v>
      </c>
      <c r="K263" s="719"/>
      <c r="L263" s="719"/>
      <c r="M263"/>
    </row>
    <row r="264" spans="2:15" ht="15.75" x14ac:dyDescent="0.25">
      <c r="B264" s="691">
        <f>IF(D264&lt;&gt;"",COUNTA($D$228:D264),"")</f>
        <v>35</v>
      </c>
      <c r="C264" s="691"/>
      <c r="D264" s="701" t="s">
        <v>646</v>
      </c>
      <c r="E264" s="721"/>
      <c r="F264" s="719"/>
      <c r="G264" s="709">
        <v>-3.6999999999999999E-4</v>
      </c>
      <c r="H264" s="709">
        <v>-3.6999999999999999E-4</v>
      </c>
      <c r="J264" s="709">
        <f t="shared" si="44"/>
        <v>0</v>
      </c>
      <c r="K264" s="719"/>
      <c r="L264" s="719"/>
      <c r="M264"/>
    </row>
    <row r="265" spans="2:15" ht="15.75" x14ac:dyDescent="0.25">
      <c r="B265" s="691">
        <f>IF(D265&lt;&gt;"",COUNTA($D$228:D265),"")</f>
        <v>36</v>
      </c>
      <c r="C265" s="691"/>
      <c r="D265" s="701" t="s">
        <v>647</v>
      </c>
      <c r="E265" s="721"/>
      <c r="F265" s="719"/>
      <c r="G265" s="709">
        <v>3.7940000000000002E-2</v>
      </c>
      <c r="H265" s="709">
        <v>3.7940000000000002E-2</v>
      </c>
      <c r="J265" s="709">
        <f t="shared" si="44"/>
        <v>0</v>
      </c>
      <c r="K265" s="719"/>
      <c r="L265" s="719"/>
      <c r="M265"/>
    </row>
    <row r="266" spans="2:15" ht="15.75" x14ac:dyDescent="0.25">
      <c r="B266" s="691">
        <f>IF(D266&lt;&gt;"",COUNTA($D$228:D266),"")</f>
        <v>37</v>
      </c>
      <c r="C266" s="691"/>
      <c r="D266" s="701" t="s">
        <v>648</v>
      </c>
      <c r="E266" s="721"/>
      <c r="F266" s="719"/>
      <c r="G266" s="709">
        <f>EES!$G$22</f>
        <v>1.209E-2</v>
      </c>
      <c r="H266" s="709">
        <f>EES!$K$22</f>
        <v>1.4290000000000001E-2</v>
      </c>
      <c r="J266" s="709">
        <f t="shared" si="44"/>
        <v>2.2000000000000006E-3</v>
      </c>
      <c r="K266" s="719"/>
      <c r="L266" s="719"/>
      <c r="M266"/>
    </row>
    <row r="267" spans="2:15" ht="15.75" x14ac:dyDescent="0.25">
      <c r="B267" s="691">
        <f>IF(D267&lt;&gt;"",COUNTA($D$228:D267),"")</f>
        <v>38</v>
      </c>
      <c r="C267" s="691"/>
      <c r="D267" s="701" t="s">
        <v>649</v>
      </c>
      <c r="E267" s="721"/>
      <c r="F267" s="719"/>
      <c r="G267" s="709">
        <v>2.5000000000000001E-3</v>
      </c>
      <c r="H267" s="709">
        <v>2.5000000000000001E-3</v>
      </c>
      <c r="J267" s="709">
        <f t="shared" si="44"/>
        <v>0</v>
      </c>
      <c r="K267" s="719"/>
      <c r="L267" s="719"/>
      <c r="M267"/>
    </row>
    <row r="268" spans="2:15" ht="15.75" x14ac:dyDescent="0.25">
      <c r="B268" s="691">
        <f>IF(D268&lt;&gt;"",COUNTA($D$228:D268),"")</f>
        <v>39</v>
      </c>
      <c r="C268" s="691"/>
      <c r="D268" s="701" t="s">
        <v>650</v>
      </c>
      <c r="E268" s="721"/>
      <c r="F268" s="719"/>
      <c r="G268" s="709">
        <v>5.0000000000000001E-4</v>
      </c>
      <c r="H268" s="709">
        <v>5.0000000000000001E-4</v>
      </c>
      <c r="J268" s="709">
        <f t="shared" si="44"/>
        <v>0</v>
      </c>
      <c r="K268" s="719"/>
      <c r="L268" s="719"/>
      <c r="M268"/>
    </row>
    <row r="269" spans="2:15" ht="15.75" x14ac:dyDescent="0.25">
      <c r="B269" s="691">
        <f>IF(D269&lt;&gt;"",COUNTA($D$228:D269),"")</f>
        <v>40</v>
      </c>
      <c r="C269" s="691"/>
      <c r="D269" s="690" t="s">
        <v>651</v>
      </c>
      <c r="E269" s="721"/>
      <c r="F269" s="719"/>
      <c r="G269" s="709">
        <v>0.15415999999999999</v>
      </c>
      <c r="H269" s="709">
        <v>0.15415999999999999</v>
      </c>
      <c r="J269" s="709">
        <f t="shared" si="44"/>
        <v>0</v>
      </c>
      <c r="K269" s="719"/>
      <c r="L269" s="719"/>
      <c r="M269"/>
      <c r="N269" s="687" t="s">
        <v>27</v>
      </c>
    </row>
    <row r="272" spans="2:15" ht="15.75" x14ac:dyDescent="0.25">
      <c r="B272" s="1070" t="str">
        <f>$B$3</f>
        <v>Cape Light Compact JPE</v>
      </c>
      <c r="C272" s="1070"/>
      <c r="D272" s="1070"/>
      <c r="E272" s="1070"/>
      <c r="F272" s="1070"/>
      <c r="G272" s="1070"/>
      <c r="H272" s="1070"/>
      <c r="I272" s="1070"/>
      <c r="J272" s="1070"/>
      <c r="K272" s="1070"/>
      <c r="L272" s="1070"/>
      <c r="M272" s="1070"/>
      <c r="N272" s="1070"/>
      <c r="O272" s="1070"/>
    </row>
    <row r="273" spans="2:16" ht="15.75" x14ac:dyDescent="0.25">
      <c r="B273" s="1070" t="str">
        <f>$B$4</f>
        <v>Calculation of Monthly Typical Bill</v>
      </c>
      <c r="C273" s="1070"/>
      <c r="D273" s="1070"/>
      <c r="E273" s="1070"/>
      <c r="F273" s="1070"/>
      <c r="G273" s="1070"/>
      <c r="H273" s="1070"/>
      <c r="I273" s="1070"/>
      <c r="J273" s="1070"/>
      <c r="K273" s="1070"/>
      <c r="L273" s="1070"/>
      <c r="M273" s="1070"/>
      <c r="N273" s="1070"/>
      <c r="O273" s="1070"/>
    </row>
    <row r="274" spans="2:16" ht="15.75" x14ac:dyDescent="0.25">
      <c r="B274" s="1070" t="str">
        <f>$B$5</f>
        <v>Illustrative 2024 EES Rates</v>
      </c>
      <c r="C274" s="1070"/>
      <c r="D274" s="1070"/>
      <c r="E274" s="1070"/>
      <c r="F274" s="1070"/>
      <c r="G274" s="1070"/>
      <c r="H274" s="1070"/>
      <c r="I274" s="1070"/>
      <c r="J274" s="1070"/>
      <c r="K274" s="1070"/>
      <c r="L274" s="1070"/>
      <c r="M274" s="1070"/>
      <c r="N274" s="1070"/>
      <c r="O274" s="1070"/>
    </row>
    <row r="275" spans="2:16" ht="15.75" x14ac:dyDescent="0.25">
      <c r="B275" s="723"/>
      <c r="C275" s="723"/>
      <c r="D275" s="701"/>
      <c r="E275" s="701"/>
      <c r="F275" s="715"/>
      <c r="G275" s="777"/>
      <c r="H275" s="778"/>
      <c r="I275" s="701"/>
      <c r="J275" s="701"/>
      <c r="K275" s="701"/>
      <c r="L275" s="701"/>
      <c r="M275" s="701"/>
      <c r="N275" s="701"/>
      <c r="O275" s="701"/>
    </row>
    <row r="276" spans="2:16" ht="15.75" x14ac:dyDescent="0.25">
      <c r="B276" s="1071" t="s">
        <v>605</v>
      </c>
      <c r="C276" s="1071"/>
      <c r="D276" s="1071"/>
      <c r="E276" s="1071"/>
      <c r="F276" s="1071"/>
      <c r="G276" s="1071"/>
      <c r="H276" s="1071"/>
      <c r="I276" s="1071"/>
      <c r="J276" s="1071"/>
      <c r="K276" s="1071"/>
      <c r="L276" s="1071"/>
      <c r="M276" s="1071"/>
      <c r="N276" s="1071"/>
      <c r="O276" s="1071"/>
    </row>
    <row r="277" spans="2:16" ht="15.75" x14ac:dyDescent="0.25">
      <c r="B277" s="716"/>
      <c r="C277" s="716"/>
      <c r="D277" s="724"/>
      <c r="E277" s="701"/>
      <c r="F277" s="701"/>
      <c r="G277" s="701"/>
      <c r="H277" s="779"/>
      <c r="I277" s="701"/>
      <c r="J277"/>
      <c r="K277"/>
      <c r="L277"/>
      <c r="M277"/>
      <c r="N277"/>
      <c r="O277"/>
    </row>
    <row r="278" spans="2:16" ht="15.75" x14ac:dyDescent="0.25">
      <c r="B278" s="691"/>
      <c r="C278" s="691"/>
      <c r="D278" s="701"/>
      <c r="E278" s="701"/>
      <c r="F278" s="701"/>
      <c r="G278" s="701"/>
      <c r="H278" s="779"/>
      <c r="I278" s="701"/>
      <c r="J278"/>
      <c r="K278"/>
      <c r="L278"/>
      <c r="M278"/>
      <c r="N278"/>
      <c r="O278"/>
    </row>
    <row r="279" spans="2:16" ht="15.75" x14ac:dyDescent="0.25">
      <c r="B279" s="691">
        <f>IF(D279&lt;&gt;"",COUNTA($D$279:D279),"")</f>
        <v>1</v>
      </c>
      <c r="C279" s="691"/>
      <c r="D279" s="716" t="s">
        <v>12</v>
      </c>
      <c r="E279" s="716" t="s">
        <v>12</v>
      </c>
      <c r="F279" s="1067" t="str">
        <f>$F$10</f>
        <v>2024 Without CVEO</v>
      </c>
      <c r="G279" s="1067"/>
      <c r="H279" s="1067"/>
      <c r="I279" s="690"/>
      <c r="J279" s="1067" t="str">
        <f>$J$10</f>
        <v>2024 With CVEO</v>
      </c>
      <c r="K279" s="1068"/>
      <c r="L279" s="1068"/>
      <c r="M279"/>
      <c r="N279" s="1068" t="str">
        <f>$N$10</f>
        <v>Total Bill Impact</v>
      </c>
      <c r="O279" s="1068"/>
    </row>
    <row r="280" spans="2:16" ht="15.75" x14ac:dyDescent="0.25">
      <c r="B280" s="691">
        <f>IF(D280&lt;&gt;"",COUNTA($D$279:D280),"")</f>
        <v>2</v>
      </c>
      <c r="C280" s="691"/>
      <c r="D280" s="725" t="s">
        <v>653</v>
      </c>
      <c r="E280" s="725" t="s">
        <v>158</v>
      </c>
      <c r="F280" s="725" t="s">
        <v>624</v>
      </c>
      <c r="G280" s="725" t="s">
        <v>625</v>
      </c>
      <c r="H280" s="725" t="s">
        <v>176</v>
      </c>
      <c r="I280" s="701"/>
      <c r="J280" s="725" t="s">
        <v>624</v>
      </c>
      <c r="K280" s="725" t="s">
        <v>625</v>
      </c>
      <c r="L280" s="725" t="s">
        <v>176</v>
      </c>
      <c r="M280"/>
      <c r="N280" s="725" t="s">
        <v>626</v>
      </c>
      <c r="O280" s="725" t="s">
        <v>120</v>
      </c>
    </row>
    <row r="281" spans="2:16" ht="15.75" x14ac:dyDescent="0.25">
      <c r="B281" s="691" t="str">
        <f>IF(D281&lt;&gt;"",COUNTA($D$279:D281),"")</f>
        <v/>
      </c>
      <c r="C281" s="691"/>
      <c r="D281" s="725"/>
      <c r="E281" s="725"/>
      <c r="F281" s="725"/>
      <c r="G281" s="725"/>
      <c r="H281" s="725"/>
      <c r="I281" s="701"/>
      <c r="J281" s="725"/>
      <c r="K281" s="725"/>
      <c r="L281" s="725"/>
      <c r="M281"/>
      <c r="N281" s="725"/>
      <c r="O281" s="725"/>
    </row>
    <row r="282" spans="2:16" ht="15.75" x14ac:dyDescent="0.25">
      <c r="B282" s="691">
        <f>IF(D282&lt;&gt;"",COUNTA($D$279:D282),"")</f>
        <v>3</v>
      </c>
      <c r="C282" s="691"/>
      <c r="D282" s="691" t="s">
        <v>654</v>
      </c>
      <c r="E282" s="716">
        <v>185</v>
      </c>
      <c r="F282" s="780"/>
      <c r="G282" s="725"/>
      <c r="H282" s="725"/>
      <c r="I282" s="725"/>
      <c r="J282" s="701"/>
      <c r="K282" s="725"/>
      <c r="L282" s="725"/>
      <c r="M282" s="725"/>
      <c r="N282"/>
      <c r="O282" s="726"/>
      <c r="P282" s="725"/>
    </row>
    <row r="283" spans="2:16" x14ac:dyDescent="0.2">
      <c r="B283" s="691">
        <f>IF(D283&lt;&gt;"",COUNTA($D$279:D283),"")</f>
        <v>4</v>
      </c>
      <c r="C283" s="691"/>
      <c r="D283" s="691">
        <v>80</v>
      </c>
      <c r="E283" s="727">
        <f t="shared" ref="E283:E290" si="45">D283*$E$282</f>
        <v>14800</v>
      </c>
      <c r="F283" s="743">
        <f t="shared" ref="F283:F290" si="46">ROUND($H$315+$D283*SUM($H$316,$H$336)+$E283*SUM($H$317:$H$335,$H$337:$H$339),2)</f>
        <v>2424.3200000000002</v>
      </c>
      <c r="G283" s="743">
        <f t="shared" ref="G283:G290" si="47">ROUND($H$340*$E283,2)</f>
        <v>1447.29</v>
      </c>
      <c r="H283" s="718">
        <f t="shared" ref="H283:H290" si="48">SUM(F283:G283)</f>
        <v>3871.61</v>
      </c>
      <c r="I283" s="718"/>
      <c r="J283" s="743">
        <f t="shared" ref="J283:J290" si="49">ROUND($J$315+$D283*SUM($J$316,$J$336)+$E283*SUM($J$317:$J$335,$J$337:$J$339),2)</f>
        <v>2456.88</v>
      </c>
      <c r="K283" s="728">
        <f t="shared" ref="K283:K290" si="50">ROUND($J$340*$E283,2)</f>
        <v>1447.29</v>
      </c>
      <c r="L283" s="718">
        <f t="shared" ref="L283:L290" si="51">SUM(J283:K283)</f>
        <v>3904.17</v>
      </c>
      <c r="M283" s="718"/>
      <c r="N283" s="719">
        <f t="shared" ref="N283:N290" si="52">+L283-H283</f>
        <v>32.559999999999945</v>
      </c>
      <c r="O283" s="729">
        <f t="shared" ref="O283:O290" si="53">+N283/H283</f>
        <v>8.4099379844560646E-3</v>
      </c>
      <c r="P283" s="720"/>
    </row>
    <row r="284" spans="2:16" x14ac:dyDescent="0.2">
      <c r="B284" s="691">
        <f>IF(D284&lt;&gt;"",COUNTA($D$279:D284),"")</f>
        <v>5</v>
      </c>
      <c r="C284" s="691"/>
      <c r="D284" s="691">
        <v>120</v>
      </c>
      <c r="E284" s="727">
        <f t="shared" si="45"/>
        <v>22200</v>
      </c>
      <c r="F284" s="743">
        <f t="shared" si="46"/>
        <v>3451.48</v>
      </c>
      <c r="G284" s="743">
        <f t="shared" si="47"/>
        <v>2170.94</v>
      </c>
      <c r="H284" s="718">
        <f t="shared" si="48"/>
        <v>5622.42</v>
      </c>
      <c r="I284" s="718"/>
      <c r="J284" s="743">
        <f t="shared" si="49"/>
        <v>3500.32</v>
      </c>
      <c r="K284" s="728">
        <f t="shared" si="50"/>
        <v>2170.94</v>
      </c>
      <c r="L284" s="718">
        <f t="shared" si="51"/>
        <v>5671.26</v>
      </c>
      <c r="M284" s="718"/>
      <c r="N284" s="719">
        <f t="shared" si="52"/>
        <v>48.840000000000146</v>
      </c>
      <c r="O284" s="729">
        <f t="shared" si="53"/>
        <v>8.6866509438996275E-3</v>
      </c>
      <c r="P284" s="720"/>
    </row>
    <row r="285" spans="2:16" x14ac:dyDescent="0.2">
      <c r="B285" s="691">
        <f>IF(D285&lt;&gt;"",COUNTA($D$279:D285),"")</f>
        <v>6</v>
      </c>
      <c r="C285" s="691"/>
      <c r="D285" s="691">
        <v>140</v>
      </c>
      <c r="E285" s="727">
        <f t="shared" si="45"/>
        <v>25900</v>
      </c>
      <c r="F285" s="743">
        <f t="shared" si="46"/>
        <v>3965.06</v>
      </c>
      <c r="G285" s="743">
        <f t="shared" si="47"/>
        <v>2532.7600000000002</v>
      </c>
      <c r="H285" s="718">
        <f t="shared" si="48"/>
        <v>6497.82</v>
      </c>
      <c r="I285" s="718"/>
      <c r="J285" s="743">
        <f t="shared" si="49"/>
        <v>4022.04</v>
      </c>
      <c r="K285" s="728">
        <f t="shared" si="50"/>
        <v>2532.7600000000002</v>
      </c>
      <c r="L285" s="718">
        <f t="shared" si="51"/>
        <v>6554.8</v>
      </c>
      <c r="M285" s="718"/>
      <c r="N285" s="719">
        <f t="shared" si="52"/>
        <v>56.980000000000473</v>
      </c>
      <c r="O285" s="729">
        <f t="shared" si="53"/>
        <v>8.7690948656627115E-3</v>
      </c>
      <c r="P285" s="720"/>
    </row>
    <row r="286" spans="2:16" x14ac:dyDescent="0.2">
      <c r="B286" s="691">
        <f>IF(D286&lt;&gt;"",COUNTA($D$279:D286),"")</f>
        <v>7</v>
      </c>
      <c r="C286" s="691"/>
      <c r="D286" s="691">
        <v>170</v>
      </c>
      <c r="E286" s="727">
        <f t="shared" si="45"/>
        <v>31450</v>
      </c>
      <c r="F286" s="743">
        <f t="shared" si="46"/>
        <v>4735.43</v>
      </c>
      <c r="G286" s="743">
        <f t="shared" si="47"/>
        <v>3075.5</v>
      </c>
      <c r="H286" s="718">
        <f t="shared" si="48"/>
        <v>7810.93</v>
      </c>
      <c r="I286" s="718"/>
      <c r="J286" s="743">
        <f t="shared" si="49"/>
        <v>4804.62</v>
      </c>
      <c r="K286" s="728">
        <f t="shared" si="50"/>
        <v>3075.5</v>
      </c>
      <c r="L286" s="718">
        <f t="shared" si="51"/>
        <v>7880.12</v>
      </c>
      <c r="M286" s="718"/>
      <c r="N286" s="719">
        <f t="shared" si="52"/>
        <v>69.1899999999996</v>
      </c>
      <c r="O286" s="729">
        <f t="shared" si="53"/>
        <v>8.8581001238008279E-3</v>
      </c>
      <c r="P286" s="720"/>
    </row>
    <row r="287" spans="2:16" x14ac:dyDescent="0.2">
      <c r="B287" s="691">
        <f>IF(D287&lt;&gt;"",COUNTA($D$279:D287),"")</f>
        <v>8</v>
      </c>
      <c r="C287" s="691"/>
      <c r="D287" s="691">
        <v>215</v>
      </c>
      <c r="E287" s="727">
        <f t="shared" si="45"/>
        <v>39775</v>
      </c>
      <c r="F287" s="743">
        <f t="shared" si="46"/>
        <v>5890.99</v>
      </c>
      <c r="G287" s="743">
        <f t="shared" si="47"/>
        <v>3889.6</v>
      </c>
      <c r="H287" s="718">
        <f t="shared" si="48"/>
        <v>9780.59</v>
      </c>
      <c r="I287" s="718"/>
      <c r="J287" s="743">
        <f t="shared" si="49"/>
        <v>5978.49</v>
      </c>
      <c r="K287" s="728">
        <f t="shared" si="50"/>
        <v>3889.6</v>
      </c>
      <c r="L287" s="718">
        <f t="shared" si="51"/>
        <v>9868.09</v>
      </c>
      <c r="M287" s="718"/>
      <c r="N287" s="719">
        <f t="shared" si="52"/>
        <v>87.5</v>
      </c>
      <c r="O287" s="729">
        <f t="shared" si="53"/>
        <v>8.9462905612033624E-3</v>
      </c>
      <c r="P287" s="720"/>
    </row>
    <row r="288" spans="2:16" x14ac:dyDescent="0.2">
      <c r="B288" s="691">
        <f>IF(D288&lt;&gt;"",COUNTA($D$279:D288),"")</f>
        <v>9</v>
      </c>
      <c r="C288" s="691"/>
      <c r="D288" s="691">
        <v>290</v>
      </c>
      <c r="E288" s="727">
        <f t="shared" si="45"/>
        <v>53650</v>
      </c>
      <c r="F288" s="743">
        <f t="shared" si="46"/>
        <v>7816.91</v>
      </c>
      <c r="G288" s="743">
        <f t="shared" si="47"/>
        <v>5246.43</v>
      </c>
      <c r="H288" s="718">
        <f t="shared" si="48"/>
        <v>13063.34</v>
      </c>
      <c r="I288" s="718"/>
      <c r="J288" s="743">
        <f t="shared" si="49"/>
        <v>7934.94</v>
      </c>
      <c r="K288" s="728">
        <f t="shared" si="50"/>
        <v>5246.43</v>
      </c>
      <c r="L288" s="718">
        <f t="shared" si="51"/>
        <v>13181.369999999999</v>
      </c>
      <c r="M288" s="718"/>
      <c r="N288" s="719">
        <f t="shared" si="52"/>
        <v>118.02999999999884</v>
      </c>
      <c r="O288" s="729">
        <f t="shared" si="53"/>
        <v>9.035208453580695E-3</v>
      </c>
      <c r="P288" s="720"/>
    </row>
    <row r="289" spans="2:20" x14ac:dyDescent="0.2">
      <c r="B289" s="691">
        <f>IF(D289&lt;&gt;"",COUNTA($D$279:D289),"")</f>
        <v>10</v>
      </c>
      <c r="C289" s="691"/>
      <c r="D289" s="691">
        <v>500</v>
      </c>
      <c r="E289" s="727">
        <f t="shared" si="45"/>
        <v>92500</v>
      </c>
      <c r="F289" s="743">
        <f t="shared" si="46"/>
        <v>13209.5</v>
      </c>
      <c r="G289" s="743">
        <f t="shared" si="47"/>
        <v>9045.58</v>
      </c>
      <c r="H289" s="718">
        <f t="shared" si="48"/>
        <v>22255.08</v>
      </c>
      <c r="I289" s="718"/>
      <c r="J289" s="743">
        <f t="shared" si="49"/>
        <v>13413</v>
      </c>
      <c r="K289" s="728">
        <f t="shared" si="50"/>
        <v>9045.58</v>
      </c>
      <c r="L289" s="718">
        <f t="shared" si="51"/>
        <v>22458.58</v>
      </c>
      <c r="M289" s="718"/>
      <c r="N289" s="719">
        <f t="shared" si="52"/>
        <v>203.5</v>
      </c>
      <c r="O289" s="729">
        <f t="shared" si="53"/>
        <v>9.1439797115984295E-3</v>
      </c>
      <c r="Q289" s="711"/>
    </row>
    <row r="290" spans="2:20" x14ac:dyDescent="0.2">
      <c r="B290" s="691">
        <f>IF(D290&lt;&gt;"",COUNTA($D$279:D290),"")</f>
        <v>11</v>
      </c>
      <c r="C290" s="691" t="s">
        <v>627</v>
      </c>
      <c r="D290" s="691">
        <v>215</v>
      </c>
      <c r="E290" s="727">
        <f t="shared" si="45"/>
        <v>39775</v>
      </c>
      <c r="F290" s="743">
        <f t="shared" si="46"/>
        <v>5890.99</v>
      </c>
      <c r="G290" s="743">
        <f t="shared" si="47"/>
        <v>3889.6</v>
      </c>
      <c r="H290" s="718">
        <f t="shared" si="48"/>
        <v>9780.59</v>
      </c>
      <c r="I290" s="718"/>
      <c r="J290" s="743">
        <f t="shared" si="49"/>
        <v>5978.49</v>
      </c>
      <c r="K290" s="728">
        <f t="shared" si="50"/>
        <v>3889.6</v>
      </c>
      <c r="L290" s="718">
        <f t="shared" si="51"/>
        <v>9868.09</v>
      </c>
      <c r="M290" s="718"/>
      <c r="N290" s="719">
        <f t="shared" si="52"/>
        <v>87.5</v>
      </c>
      <c r="O290" s="729">
        <f t="shared" si="53"/>
        <v>8.9462905612033624E-3</v>
      </c>
    </row>
    <row r="291" spans="2:20" x14ac:dyDescent="0.2">
      <c r="B291" s="691" t="str">
        <f>IF(D291&lt;&gt;"",COUNTA($D$279:D291),"")</f>
        <v/>
      </c>
      <c r="C291" s="691"/>
      <c r="D291" s="717"/>
      <c r="E291" s="717"/>
      <c r="F291" s="743"/>
      <c r="G291" s="718"/>
      <c r="H291" s="718"/>
      <c r="I291" s="719"/>
      <c r="J291" s="718"/>
      <c r="K291" s="718"/>
      <c r="L291" s="718"/>
      <c r="M291" s="719"/>
      <c r="N291" s="718"/>
      <c r="O291" s="729"/>
    </row>
    <row r="292" spans="2:20" ht="15.75" x14ac:dyDescent="0.25">
      <c r="B292" s="691">
        <f>IF(D292&lt;&gt;"",COUNTA($D$279:D292),"")</f>
        <v>12</v>
      </c>
      <c r="C292" s="691"/>
      <c r="D292" s="691" t="s">
        <v>654</v>
      </c>
      <c r="E292" s="716">
        <v>360</v>
      </c>
      <c r="F292" s="780"/>
      <c r="G292" s="725"/>
      <c r="H292" s="725"/>
      <c r="I292" s="725"/>
      <c r="J292" s="725"/>
      <c r="K292" s="725"/>
      <c r="L292" s="725"/>
      <c r="M292" s="725"/>
      <c r="N292"/>
      <c r="O292" s="730"/>
      <c r="P292" s="725"/>
    </row>
    <row r="293" spans="2:20" x14ac:dyDescent="0.2">
      <c r="B293" s="691">
        <f>IF(D293&lt;&gt;"",COUNTA($D$279:D293),"")</f>
        <v>13</v>
      </c>
      <c r="C293" s="691"/>
      <c r="D293" s="691">
        <v>85</v>
      </c>
      <c r="E293" s="727">
        <f t="shared" ref="E293:E300" si="54">D293*$E$292</f>
        <v>30600</v>
      </c>
      <c r="F293" s="743">
        <f t="shared" ref="F293:F300" si="55">ROUND($H$315+$D293*SUM($H$316,$H$336)+$E293*SUM($H$317:$H$335,$H$337:$H$339),2)</f>
        <v>3317.29</v>
      </c>
      <c r="G293" s="743">
        <f t="shared" ref="G293:G300" si="56">ROUND($H$340*$E293,2)</f>
        <v>2992.37</v>
      </c>
      <c r="H293" s="718">
        <f t="shared" ref="H293:H300" si="57">SUM(F293:G293)</f>
        <v>6309.66</v>
      </c>
      <c r="I293" s="718"/>
      <c r="J293" s="743">
        <f t="shared" ref="J293:J300" si="58">ROUND($J$315+$D293*SUM($J$316,$J$336)+$E293*SUM($J$317:$J$335,$J$337:$J$339),2)</f>
        <v>3384.61</v>
      </c>
      <c r="K293" s="728">
        <f t="shared" ref="K293:K300" si="59">ROUND($J$340*$E293,2)</f>
        <v>2992.37</v>
      </c>
      <c r="L293" s="718">
        <f t="shared" ref="L293:L300" si="60">SUM(J293:K293)</f>
        <v>6376.98</v>
      </c>
      <c r="M293" s="718"/>
      <c r="N293" s="719">
        <f t="shared" ref="N293:N300" si="61">+L293-H293</f>
        <v>67.319999999999709</v>
      </c>
      <c r="O293" s="729">
        <f t="shared" ref="O293:O300" si="62">+N293/H293</f>
        <v>1.0669354608647647E-2</v>
      </c>
      <c r="P293" s="720"/>
    </row>
    <row r="294" spans="2:20" x14ac:dyDescent="0.2">
      <c r="B294" s="691">
        <f>IF(D294&lt;&gt;"",COUNTA($D$279:D294),"")</f>
        <v>14</v>
      </c>
      <c r="C294" s="691"/>
      <c r="D294" s="691">
        <v>115</v>
      </c>
      <c r="E294" s="727">
        <f t="shared" si="54"/>
        <v>41400</v>
      </c>
      <c r="F294" s="743">
        <f t="shared" si="55"/>
        <v>4357.51</v>
      </c>
      <c r="G294" s="743">
        <f t="shared" si="56"/>
        <v>4048.51</v>
      </c>
      <c r="H294" s="718">
        <f t="shared" si="57"/>
        <v>8406.02</v>
      </c>
      <c r="I294" s="718"/>
      <c r="J294" s="743">
        <f t="shared" si="58"/>
        <v>4448.59</v>
      </c>
      <c r="K294" s="728">
        <f t="shared" si="59"/>
        <v>4048.51</v>
      </c>
      <c r="L294" s="718">
        <f t="shared" si="60"/>
        <v>8497.1</v>
      </c>
      <c r="M294" s="718"/>
      <c r="N294" s="719">
        <f t="shared" si="61"/>
        <v>91.079999999999927</v>
      </c>
      <c r="O294" s="729">
        <f t="shared" si="62"/>
        <v>1.0835091993595057E-2</v>
      </c>
      <c r="P294" s="720"/>
    </row>
    <row r="295" spans="2:20" x14ac:dyDescent="0.2">
      <c r="B295" s="691">
        <f>IF(D295&lt;&gt;"",COUNTA($D$279:D295),"")</f>
        <v>15</v>
      </c>
      <c r="C295" s="691"/>
      <c r="D295" s="691">
        <v>140</v>
      </c>
      <c r="E295" s="727">
        <f t="shared" si="54"/>
        <v>50400</v>
      </c>
      <c r="F295" s="743">
        <f t="shared" si="55"/>
        <v>5224.3599999999997</v>
      </c>
      <c r="G295" s="743">
        <f t="shared" si="56"/>
        <v>4928.62</v>
      </c>
      <c r="H295" s="718">
        <f t="shared" si="57"/>
        <v>10152.98</v>
      </c>
      <c r="I295" s="718"/>
      <c r="J295" s="743">
        <f t="shared" si="58"/>
        <v>5335.24</v>
      </c>
      <c r="K295" s="728">
        <f t="shared" si="59"/>
        <v>4928.62</v>
      </c>
      <c r="L295" s="718">
        <f t="shared" si="60"/>
        <v>10263.86</v>
      </c>
      <c r="M295" s="718"/>
      <c r="N295" s="719">
        <f t="shared" si="61"/>
        <v>110.88000000000102</v>
      </c>
      <c r="O295" s="729">
        <f t="shared" si="62"/>
        <v>1.0920931588558338E-2</v>
      </c>
      <c r="P295" s="720"/>
      <c r="S295" s="687" t="s">
        <v>27</v>
      </c>
    </row>
    <row r="296" spans="2:20" x14ac:dyDescent="0.2">
      <c r="B296" s="691">
        <f>IF(D296&lt;&gt;"",COUNTA($D$279:D296),"")</f>
        <v>16</v>
      </c>
      <c r="C296" s="691"/>
      <c r="D296" s="691">
        <v>170</v>
      </c>
      <c r="E296" s="727">
        <f t="shared" si="54"/>
        <v>61200</v>
      </c>
      <c r="F296" s="743">
        <f t="shared" si="55"/>
        <v>6264.58</v>
      </c>
      <c r="G296" s="743">
        <f t="shared" si="56"/>
        <v>5984.75</v>
      </c>
      <c r="H296" s="718">
        <f t="shared" si="57"/>
        <v>12249.33</v>
      </c>
      <c r="I296" s="718"/>
      <c r="J296" s="743">
        <f t="shared" si="58"/>
        <v>6399.22</v>
      </c>
      <c r="K296" s="728">
        <f t="shared" si="59"/>
        <v>5984.75</v>
      </c>
      <c r="L296" s="718">
        <f t="shared" si="60"/>
        <v>12383.970000000001</v>
      </c>
      <c r="M296" s="718"/>
      <c r="N296" s="719">
        <f t="shared" si="61"/>
        <v>134.64000000000124</v>
      </c>
      <c r="O296" s="729">
        <f t="shared" si="62"/>
        <v>1.0991621582568291E-2</v>
      </c>
      <c r="P296" s="720"/>
    </row>
    <row r="297" spans="2:20" x14ac:dyDescent="0.2">
      <c r="B297" s="691">
        <f>IF(D297&lt;&gt;"",COUNTA($D$279:D297),"")</f>
        <v>17</v>
      </c>
      <c r="C297" s="691"/>
      <c r="D297" s="691">
        <v>200</v>
      </c>
      <c r="E297" s="727">
        <f t="shared" si="54"/>
        <v>72000</v>
      </c>
      <c r="F297" s="743">
        <f t="shared" si="55"/>
        <v>7304.8</v>
      </c>
      <c r="G297" s="743">
        <f t="shared" si="56"/>
        <v>7040.88</v>
      </c>
      <c r="H297" s="718">
        <f t="shared" si="57"/>
        <v>14345.68</v>
      </c>
      <c r="I297" s="718"/>
      <c r="J297" s="743">
        <f t="shared" si="58"/>
        <v>7463.2</v>
      </c>
      <c r="K297" s="728">
        <f t="shared" si="59"/>
        <v>7040.88</v>
      </c>
      <c r="L297" s="718">
        <f t="shared" si="60"/>
        <v>14504.08</v>
      </c>
      <c r="M297" s="718"/>
      <c r="N297" s="719">
        <f t="shared" si="61"/>
        <v>158.39999999999964</v>
      </c>
      <c r="O297" s="729">
        <f t="shared" si="62"/>
        <v>1.1041651563397457E-2</v>
      </c>
      <c r="P297" s="720"/>
    </row>
    <row r="298" spans="2:20" x14ac:dyDescent="0.2">
      <c r="B298" s="691">
        <f>IF(D298&lt;&gt;"",COUNTA($D$279:D298),"")</f>
        <v>18</v>
      </c>
      <c r="C298" s="691"/>
      <c r="D298" s="691">
        <v>270</v>
      </c>
      <c r="E298" s="727">
        <f t="shared" si="54"/>
        <v>97200</v>
      </c>
      <c r="F298" s="743">
        <f t="shared" si="55"/>
        <v>9731.98</v>
      </c>
      <c r="G298" s="743">
        <f t="shared" si="56"/>
        <v>9505.19</v>
      </c>
      <c r="H298" s="718">
        <f t="shared" si="57"/>
        <v>19237.169999999998</v>
      </c>
      <c r="I298" s="718"/>
      <c r="J298" s="743">
        <f t="shared" si="58"/>
        <v>9945.82</v>
      </c>
      <c r="K298" s="728">
        <f t="shared" si="59"/>
        <v>9505.19</v>
      </c>
      <c r="L298" s="718">
        <f t="shared" si="60"/>
        <v>19451.010000000002</v>
      </c>
      <c r="M298" s="718"/>
      <c r="N298" s="719">
        <f t="shared" si="61"/>
        <v>213.84000000000378</v>
      </c>
      <c r="O298" s="729">
        <f t="shared" si="62"/>
        <v>1.1115980157164687E-2</v>
      </c>
      <c r="P298" s="720"/>
    </row>
    <row r="299" spans="2:20" x14ac:dyDescent="0.2">
      <c r="B299" s="691">
        <f>IF(D299&lt;&gt;"",COUNTA($D$279:D299),"")</f>
        <v>19</v>
      </c>
      <c r="C299" s="691"/>
      <c r="D299" s="691">
        <v>480</v>
      </c>
      <c r="E299" s="727">
        <f t="shared" si="54"/>
        <v>172800</v>
      </c>
      <c r="F299" s="743">
        <f t="shared" si="55"/>
        <v>17013.52</v>
      </c>
      <c r="G299" s="743">
        <f t="shared" si="56"/>
        <v>16898.11</v>
      </c>
      <c r="H299" s="718">
        <f t="shared" si="57"/>
        <v>33911.630000000005</v>
      </c>
      <c r="I299" s="718"/>
      <c r="J299" s="743">
        <f t="shared" si="58"/>
        <v>17393.68</v>
      </c>
      <c r="K299" s="728">
        <f t="shared" si="59"/>
        <v>16898.11</v>
      </c>
      <c r="L299" s="718">
        <f t="shared" si="60"/>
        <v>34291.79</v>
      </c>
      <c r="M299" s="718"/>
      <c r="N299" s="719">
        <f t="shared" si="61"/>
        <v>380.15999999999622</v>
      </c>
      <c r="O299" s="729">
        <f t="shared" si="62"/>
        <v>1.1210313393959422E-2</v>
      </c>
      <c r="R299" s="687" t="s">
        <v>27</v>
      </c>
    </row>
    <row r="300" spans="2:20" x14ac:dyDescent="0.2">
      <c r="B300" s="691">
        <f>IF(D300&lt;&gt;"",COUNTA($D$279:D300),"")</f>
        <v>20</v>
      </c>
      <c r="C300" s="691" t="s">
        <v>627</v>
      </c>
      <c r="D300" s="691">
        <v>209</v>
      </c>
      <c r="E300" s="727">
        <f t="shared" si="54"/>
        <v>75240</v>
      </c>
      <c r="F300" s="743">
        <f t="shared" si="55"/>
        <v>7616.87</v>
      </c>
      <c r="G300" s="743">
        <f t="shared" si="56"/>
        <v>7357.72</v>
      </c>
      <c r="H300" s="718">
        <f t="shared" si="57"/>
        <v>14974.59</v>
      </c>
      <c r="I300" s="718"/>
      <c r="J300" s="743">
        <f t="shared" si="58"/>
        <v>7782.39</v>
      </c>
      <c r="K300" s="728">
        <f t="shared" si="59"/>
        <v>7357.72</v>
      </c>
      <c r="L300" s="718">
        <f t="shared" si="60"/>
        <v>15140.11</v>
      </c>
      <c r="M300" s="718"/>
      <c r="N300" s="719">
        <f t="shared" si="61"/>
        <v>165.52000000000044</v>
      </c>
      <c r="O300" s="729">
        <f t="shared" si="62"/>
        <v>1.1053391111209085E-2</v>
      </c>
      <c r="T300" s="687" t="s">
        <v>27</v>
      </c>
    </row>
    <row r="301" spans="2:20" ht="15.75" x14ac:dyDescent="0.25">
      <c r="B301" s="691" t="str">
        <f>IF(D301&lt;&gt;"",COUNTA($D$279:D301),"")</f>
        <v/>
      </c>
      <c r="C301" s="691"/>
      <c r="D301" s="731"/>
      <c r="E301" s="731"/>
      <c r="F301" s="781"/>
      <c r="G301" s="732"/>
      <c r="H301" s="732"/>
      <c r="I301" s="733"/>
      <c r="J301" s="732"/>
      <c r="K301" s="732"/>
      <c r="L301" s="732"/>
      <c r="M301" s="733"/>
      <c r="N301" s="732"/>
      <c r="O301" s="734"/>
    </row>
    <row r="302" spans="2:20" ht="15.75" x14ac:dyDescent="0.25">
      <c r="B302" s="691">
        <f>IF(D302&lt;&gt;"",COUNTA($D$279:D302),"")</f>
        <v>21</v>
      </c>
      <c r="C302" s="691"/>
      <c r="D302" s="691" t="s">
        <v>654</v>
      </c>
      <c r="E302" s="716">
        <v>490</v>
      </c>
      <c r="F302" s="780"/>
      <c r="G302" s="725"/>
      <c r="H302" s="725"/>
      <c r="I302" s="725"/>
      <c r="J302" s="725"/>
      <c r="K302" s="725"/>
      <c r="L302" s="725"/>
      <c r="M302" s="725"/>
      <c r="N302"/>
      <c r="O302" s="730"/>
      <c r="P302" s="725"/>
      <c r="R302" s="687" t="s">
        <v>27</v>
      </c>
    </row>
    <row r="303" spans="2:20" x14ac:dyDescent="0.2">
      <c r="B303" s="691">
        <f>IF(D303&lt;&gt;"",COUNTA($D$279:D303),"")</f>
        <v>22</v>
      </c>
      <c r="C303" s="691"/>
      <c r="D303" s="691">
        <v>75</v>
      </c>
      <c r="E303" s="727">
        <f t="shared" ref="E303:E310" si="63">D303*$E$302</f>
        <v>36750</v>
      </c>
      <c r="F303" s="743">
        <f t="shared" ref="F303:F310" si="64">ROUND($H$315+$D303*SUM($H$316,$H$336)+$E303*SUM($H$317:$H$335,$H$337:$H$339),2)</f>
        <v>3471.7</v>
      </c>
      <c r="G303" s="743">
        <f t="shared" ref="G303:G310" si="65">ROUND($H$340*$E303,2)</f>
        <v>3593.78</v>
      </c>
      <c r="H303" s="718">
        <f t="shared" ref="H303:H310" si="66">SUM(F303:G303)</f>
        <v>7065.48</v>
      </c>
      <c r="I303" s="718"/>
      <c r="J303" s="743">
        <f t="shared" ref="J303:J310" si="67">ROUND($J$315+$D303*SUM($J$316,$J$336)+$E303*SUM($J$317:$J$335,$J$337:$J$339),2)</f>
        <v>3552.55</v>
      </c>
      <c r="K303" s="728">
        <f t="shared" ref="K303:K310" si="68">ROUND($J$340*$E303,2)</f>
        <v>3593.78</v>
      </c>
      <c r="L303" s="718">
        <f t="shared" ref="L303:L310" si="69">SUM(J303:K303)</f>
        <v>7146.33</v>
      </c>
      <c r="M303" s="718"/>
      <c r="N303" s="719">
        <f t="shared" ref="N303:N310" si="70">+L303-H303</f>
        <v>80.850000000000364</v>
      </c>
      <c r="O303" s="729">
        <f t="shared" ref="O303:O310" si="71">+N303/H303</f>
        <v>1.1442959289390157E-2</v>
      </c>
      <c r="P303" s="720"/>
    </row>
    <row r="304" spans="2:20" x14ac:dyDescent="0.2">
      <c r="B304" s="691">
        <f>IF(D304&lt;&gt;"",COUNTA($D$279:D304),"")</f>
        <v>23</v>
      </c>
      <c r="C304" s="691"/>
      <c r="D304" s="691">
        <v>110</v>
      </c>
      <c r="E304" s="727">
        <f t="shared" si="63"/>
        <v>53900</v>
      </c>
      <c r="F304" s="743">
        <f t="shared" si="64"/>
        <v>4919.16</v>
      </c>
      <c r="G304" s="743">
        <f t="shared" si="65"/>
        <v>5270.88</v>
      </c>
      <c r="H304" s="718">
        <f t="shared" si="66"/>
        <v>10190.040000000001</v>
      </c>
      <c r="I304" s="718"/>
      <c r="J304" s="743">
        <f t="shared" si="67"/>
        <v>5037.74</v>
      </c>
      <c r="K304" s="728">
        <f t="shared" si="68"/>
        <v>5270.88</v>
      </c>
      <c r="L304" s="718">
        <f t="shared" si="69"/>
        <v>10308.619999999999</v>
      </c>
      <c r="M304" s="718"/>
      <c r="N304" s="719">
        <f t="shared" si="70"/>
        <v>118.57999999999811</v>
      </c>
      <c r="O304" s="729">
        <f t="shared" si="71"/>
        <v>1.1636853241007699E-2</v>
      </c>
      <c r="P304" s="720"/>
      <c r="R304" s="687" t="s">
        <v>27</v>
      </c>
    </row>
    <row r="305" spans="2:18" x14ac:dyDescent="0.2">
      <c r="B305" s="691">
        <f>IF(D305&lt;&gt;"",COUNTA($D$279:D305),"")</f>
        <v>24</v>
      </c>
      <c r="C305" s="691"/>
      <c r="D305" s="691">
        <v>130</v>
      </c>
      <c r="E305" s="727">
        <f t="shared" si="63"/>
        <v>63700</v>
      </c>
      <c r="F305" s="743">
        <f t="shared" si="64"/>
        <v>5746.28</v>
      </c>
      <c r="G305" s="743">
        <f t="shared" si="65"/>
        <v>6229.22</v>
      </c>
      <c r="H305" s="718">
        <f t="shared" si="66"/>
        <v>11975.5</v>
      </c>
      <c r="I305" s="718"/>
      <c r="J305" s="743">
        <f t="shared" si="67"/>
        <v>5886.42</v>
      </c>
      <c r="K305" s="728">
        <f t="shared" si="68"/>
        <v>6229.22</v>
      </c>
      <c r="L305" s="718">
        <f t="shared" si="69"/>
        <v>12115.64</v>
      </c>
      <c r="M305" s="718"/>
      <c r="N305" s="719">
        <f t="shared" si="70"/>
        <v>140.13999999999942</v>
      </c>
      <c r="O305" s="729">
        <f t="shared" si="71"/>
        <v>1.170222537681094E-2</v>
      </c>
      <c r="P305" s="720"/>
    </row>
    <row r="306" spans="2:18" x14ac:dyDescent="0.2">
      <c r="B306" s="691">
        <f>IF(D306&lt;&gt;"",COUNTA($D$279:D306),"")</f>
        <v>25</v>
      </c>
      <c r="C306" s="691"/>
      <c r="D306" s="691">
        <v>165</v>
      </c>
      <c r="E306" s="727">
        <f t="shared" si="63"/>
        <v>80850</v>
      </c>
      <c r="F306" s="743">
        <f t="shared" si="64"/>
        <v>7193.74</v>
      </c>
      <c r="G306" s="743">
        <f t="shared" si="65"/>
        <v>7906.32</v>
      </c>
      <c r="H306" s="718">
        <f t="shared" si="66"/>
        <v>15100.06</v>
      </c>
      <c r="I306" s="718"/>
      <c r="J306" s="743">
        <f t="shared" si="67"/>
        <v>7371.61</v>
      </c>
      <c r="K306" s="728">
        <f t="shared" si="68"/>
        <v>7906.32</v>
      </c>
      <c r="L306" s="718">
        <f t="shared" si="69"/>
        <v>15277.93</v>
      </c>
      <c r="M306" s="718"/>
      <c r="N306" s="719">
        <f t="shared" si="70"/>
        <v>177.8700000000008</v>
      </c>
      <c r="O306" s="729">
        <f t="shared" si="71"/>
        <v>1.1779423393019683E-2</v>
      </c>
      <c r="P306" s="720"/>
    </row>
    <row r="307" spans="2:18" x14ac:dyDescent="0.2">
      <c r="B307" s="691">
        <f>IF(D307&lt;&gt;"",COUNTA($D$279:D307),"")</f>
        <v>26</v>
      </c>
      <c r="C307" s="691"/>
      <c r="D307" s="691">
        <v>215</v>
      </c>
      <c r="E307" s="727">
        <f t="shared" si="63"/>
        <v>105350</v>
      </c>
      <c r="F307" s="743">
        <f t="shared" si="64"/>
        <v>9261.5400000000009</v>
      </c>
      <c r="G307" s="743">
        <f t="shared" si="65"/>
        <v>10302.18</v>
      </c>
      <c r="H307" s="718">
        <f t="shared" si="66"/>
        <v>19563.72</v>
      </c>
      <c r="I307" s="718"/>
      <c r="J307" s="743">
        <f t="shared" si="67"/>
        <v>9493.31</v>
      </c>
      <c r="K307" s="728">
        <f t="shared" si="68"/>
        <v>10302.18</v>
      </c>
      <c r="L307" s="718">
        <f t="shared" si="69"/>
        <v>19795.489999999998</v>
      </c>
      <c r="M307" s="718"/>
      <c r="N307" s="719">
        <f t="shared" si="70"/>
        <v>231.7699999999968</v>
      </c>
      <c r="O307" s="729">
        <f t="shared" si="71"/>
        <v>1.1846928907181087E-2</v>
      </c>
      <c r="P307" s="720"/>
    </row>
    <row r="308" spans="2:18" x14ac:dyDescent="0.2">
      <c r="B308" s="691">
        <f>IF(D308&lt;&gt;"",COUNTA($D$279:D308),"")</f>
        <v>27</v>
      </c>
      <c r="C308" s="691"/>
      <c r="D308" s="691">
        <v>290</v>
      </c>
      <c r="E308" s="727">
        <f t="shared" si="63"/>
        <v>142100</v>
      </c>
      <c r="F308" s="743">
        <f t="shared" si="64"/>
        <v>12363.24</v>
      </c>
      <c r="G308" s="743">
        <f t="shared" si="65"/>
        <v>13895.96</v>
      </c>
      <c r="H308" s="718">
        <f t="shared" si="66"/>
        <v>26259.199999999997</v>
      </c>
      <c r="I308" s="718"/>
      <c r="J308" s="743">
        <f t="shared" si="67"/>
        <v>12675.86</v>
      </c>
      <c r="K308" s="728">
        <f t="shared" si="68"/>
        <v>13895.96</v>
      </c>
      <c r="L308" s="718">
        <f t="shared" si="69"/>
        <v>26571.82</v>
      </c>
      <c r="M308" s="718"/>
      <c r="N308" s="719">
        <f t="shared" si="70"/>
        <v>312.62000000000262</v>
      </c>
      <c r="O308" s="729">
        <f t="shared" si="71"/>
        <v>1.1905160857908948E-2</v>
      </c>
      <c r="P308" s="720"/>
    </row>
    <row r="309" spans="2:18" x14ac:dyDescent="0.2">
      <c r="B309" s="691">
        <f>IF(D309&lt;&gt;"",COUNTA($D$279:D309),"")</f>
        <v>28</v>
      </c>
      <c r="C309" s="691"/>
      <c r="D309" s="691">
        <v>460</v>
      </c>
      <c r="E309" s="727">
        <f t="shared" si="63"/>
        <v>225400</v>
      </c>
      <c r="F309" s="743">
        <f t="shared" si="64"/>
        <v>19393.759999999998</v>
      </c>
      <c r="G309" s="743">
        <f t="shared" si="65"/>
        <v>22041.87</v>
      </c>
      <c r="H309" s="718">
        <f t="shared" si="66"/>
        <v>41435.629999999997</v>
      </c>
      <c r="I309" s="718"/>
      <c r="J309" s="743">
        <f t="shared" si="67"/>
        <v>19889.64</v>
      </c>
      <c r="K309" s="728">
        <f t="shared" si="68"/>
        <v>22041.87</v>
      </c>
      <c r="L309" s="718">
        <f t="shared" si="69"/>
        <v>41931.509999999995</v>
      </c>
      <c r="M309" s="718"/>
      <c r="N309" s="719">
        <f t="shared" si="70"/>
        <v>495.87999999999738</v>
      </c>
      <c r="O309" s="729">
        <f t="shared" si="71"/>
        <v>1.1967478230691737E-2</v>
      </c>
    </row>
    <row r="310" spans="2:18" x14ac:dyDescent="0.2">
      <c r="B310" s="691">
        <f>IF(D310&lt;&gt;"",COUNTA($D$279:D310),"")</f>
        <v>29</v>
      </c>
      <c r="C310" s="691" t="s">
        <v>627</v>
      </c>
      <c r="D310" s="691">
        <v>207</v>
      </c>
      <c r="E310" s="727">
        <f t="shared" si="63"/>
        <v>101430</v>
      </c>
      <c r="F310" s="743">
        <f t="shared" si="64"/>
        <v>8930.69</v>
      </c>
      <c r="G310" s="743">
        <f t="shared" si="65"/>
        <v>9918.84</v>
      </c>
      <c r="H310" s="718">
        <f t="shared" si="66"/>
        <v>18849.53</v>
      </c>
      <c r="I310" s="718"/>
      <c r="J310" s="743">
        <f t="shared" si="67"/>
        <v>9153.84</v>
      </c>
      <c r="K310" s="728">
        <f t="shared" si="68"/>
        <v>9918.84</v>
      </c>
      <c r="L310" s="718">
        <f t="shared" si="69"/>
        <v>19072.68</v>
      </c>
      <c r="M310" s="718"/>
      <c r="N310" s="719">
        <f t="shared" si="70"/>
        <v>223.15000000000146</v>
      </c>
      <c r="O310" s="729">
        <f t="shared" si="71"/>
        <v>1.1838491463712967E-2</v>
      </c>
    </row>
    <row r="311" spans="2:18" ht="15.75" x14ac:dyDescent="0.25">
      <c r="B311" s="691" t="str">
        <f>IF(D311&lt;&gt;"",COUNTA($D$279:D311),"")</f>
        <v/>
      </c>
      <c r="C311" s="691"/>
      <c r="D311" s="735"/>
      <c r="E311" s="735"/>
      <c r="F311" s="732"/>
      <c r="G311" s="732"/>
      <c r="H311" s="732"/>
      <c r="I311" s="733"/>
      <c r="J311" s="732"/>
      <c r="K311" s="732"/>
      <c r="L311" s="732"/>
      <c r="M311" s="733"/>
      <c r="N311" s="732"/>
      <c r="O311" s="736"/>
    </row>
    <row r="312" spans="2:18" ht="15.75" x14ac:dyDescent="0.25">
      <c r="B312" s="691" t="str">
        <f>IF(D312&lt;&gt;"",COUNTA($D$279:D312),"")</f>
        <v/>
      </c>
      <c r="C312" s="691"/>
      <c r="D312"/>
      <c r="E312" s="727"/>
      <c r="F312" s="718"/>
      <c r="G312" s="718"/>
      <c r="H312" s="718"/>
      <c r="I312" s="719"/>
      <c r="J312" s="719"/>
      <c r="K312" s="719"/>
      <c r="L312" s="719"/>
      <c r="M312" s="719"/>
      <c r="N312" s="719"/>
      <c r="O312" s="737"/>
    </row>
    <row r="313" spans="2:18" x14ac:dyDescent="0.2">
      <c r="B313" s="691">
        <f>IF(D313&lt;&gt;"",COUNTA($D$279:D313),"")</f>
        <v>30</v>
      </c>
      <c r="C313" s="691"/>
      <c r="D313" s="701" t="s">
        <v>27</v>
      </c>
      <c r="E313" s="701"/>
      <c r="F313" s="719"/>
      <c r="G313" s="719" t="s">
        <v>27</v>
      </c>
      <c r="H313" s="746" t="str">
        <f>$G$28</f>
        <v>2024 Without CVEO</v>
      </c>
      <c r="J313" s="746" t="str">
        <f>$H$28</f>
        <v>2024 With CVEO</v>
      </c>
      <c r="K313" s="719"/>
      <c r="L313" s="719"/>
      <c r="M313" s="719"/>
      <c r="N313" s="719"/>
      <c r="O313" s="719"/>
      <c r="R313" s="687" t="s">
        <v>27</v>
      </c>
    </row>
    <row r="314" spans="2:18" ht="17.25" x14ac:dyDescent="0.35">
      <c r="B314" s="691">
        <f>IF(D314&lt;&gt;"",COUNTA($D$279:D314),"")</f>
        <v>31</v>
      </c>
      <c r="C314" s="691"/>
      <c r="D314" s="721" t="s">
        <v>27</v>
      </c>
      <c r="E314" s="721"/>
      <c r="F314" s="719"/>
      <c r="G314" s="719"/>
      <c r="H314" s="747" t="s">
        <v>162</v>
      </c>
      <c r="I314" s="747"/>
      <c r="J314" s="747" t="s">
        <v>162</v>
      </c>
      <c r="K314" s="722" t="s">
        <v>626</v>
      </c>
      <c r="L314" s="719"/>
      <c r="M314" s="719"/>
      <c r="N314" s="719"/>
      <c r="O314" s="719"/>
    </row>
    <row r="315" spans="2:18" x14ac:dyDescent="0.2">
      <c r="B315" s="691">
        <f>IF(D315&lt;&gt;"",COUNTA($D$279:D315),"")</f>
        <v>32</v>
      </c>
      <c r="C315" s="691"/>
      <c r="D315" s="701" t="s">
        <v>141</v>
      </c>
      <c r="E315" s="701"/>
      <c r="F315" s="782"/>
      <c r="G315" s="719"/>
      <c r="H315" s="705">
        <v>370</v>
      </c>
      <c r="I315" s="705"/>
      <c r="J315" s="705">
        <v>370</v>
      </c>
      <c r="K315" s="705">
        <f t="shared" ref="K315:K340" si="72">+J315-H315</f>
        <v>0</v>
      </c>
      <c r="L315" s="719"/>
      <c r="M315" s="719"/>
      <c r="N315" s="738"/>
      <c r="O315" s="719"/>
    </row>
    <row r="316" spans="2:18" x14ac:dyDescent="0.2">
      <c r="B316" s="691">
        <f>IF(D316&lt;&gt;"",COUNTA($D$279:D316),"")</f>
        <v>33</v>
      </c>
      <c r="C316" s="691"/>
      <c r="D316" s="721" t="s">
        <v>655</v>
      </c>
      <c r="E316" s="701"/>
      <c r="F316" s="782"/>
      <c r="G316" s="719"/>
      <c r="H316" s="705">
        <v>3.36</v>
      </c>
      <c r="I316" s="705"/>
      <c r="J316" s="705">
        <v>3.36</v>
      </c>
      <c r="K316" s="705">
        <f t="shared" si="72"/>
        <v>0</v>
      </c>
      <c r="L316" s="719"/>
      <c r="M316" s="719"/>
      <c r="N316" s="738"/>
      <c r="O316" s="719"/>
    </row>
    <row r="317" spans="2:18" x14ac:dyDescent="0.2">
      <c r="B317" s="691">
        <f>IF(D317&lt;&gt;"",COUNTA($D$279:D317),"")</f>
        <v>34</v>
      </c>
      <c r="C317" s="691"/>
      <c r="D317" s="721" t="s">
        <v>628</v>
      </c>
      <c r="E317" s="701"/>
      <c r="F317" s="782"/>
      <c r="G317" s="719"/>
      <c r="H317" s="709">
        <v>1.4109999999999999E-2</v>
      </c>
      <c r="I317" s="709"/>
      <c r="J317" s="709">
        <v>1.4109999999999999E-2</v>
      </c>
      <c r="K317" s="709">
        <f t="shared" si="72"/>
        <v>0</v>
      </c>
      <c r="L317" s="719"/>
      <c r="M317" s="719"/>
      <c r="N317" s="738"/>
      <c r="O317" s="719"/>
      <c r="R317" s="687" t="s">
        <v>27</v>
      </c>
    </row>
    <row r="318" spans="2:18" x14ac:dyDescent="0.2">
      <c r="B318" s="691">
        <f>IF(D318&lt;&gt;"",COUNTA($D$279:D318),"")</f>
        <v>35</v>
      </c>
      <c r="C318" s="691"/>
      <c r="D318" s="701" t="s">
        <v>629</v>
      </c>
      <c r="E318" s="701"/>
      <c r="F318" s="782"/>
      <c r="G318" s="719"/>
      <c r="H318" s="709">
        <v>5.5999999999999995E-4</v>
      </c>
      <c r="I318" s="709"/>
      <c r="J318" s="709">
        <v>5.5999999999999995E-4</v>
      </c>
      <c r="K318" s="709">
        <f t="shared" si="72"/>
        <v>0</v>
      </c>
      <c r="L318" s="719"/>
      <c r="M318" s="719"/>
      <c r="N318" s="738"/>
      <c r="O318" s="719"/>
    </row>
    <row r="319" spans="2:18" x14ac:dyDescent="0.2">
      <c r="B319" s="691">
        <f>IF(D319&lt;&gt;"",COUNTA($D$279:D319),"")</f>
        <v>36</v>
      </c>
      <c r="C319" s="691"/>
      <c r="D319" s="701" t="s">
        <v>630</v>
      </c>
      <c r="E319" s="701"/>
      <c r="F319" s="782"/>
      <c r="G319" s="719"/>
      <c r="H319" s="709">
        <v>3.0000000000000001E-5</v>
      </c>
      <c r="I319" s="709"/>
      <c r="J319" s="709">
        <v>3.0000000000000001E-5</v>
      </c>
      <c r="K319" s="709">
        <f t="shared" si="72"/>
        <v>0</v>
      </c>
      <c r="L319" s="719"/>
      <c r="M319" s="719"/>
      <c r="N319" s="738"/>
      <c r="O319" s="719"/>
    </row>
    <row r="320" spans="2:18" x14ac:dyDescent="0.2">
      <c r="B320" s="691">
        <f>IF(D320&lt;&gt;"",COUNTA($D$279:D320),"")</f>
        <v>37</v>
      </c>
      <c r="C320" s="691"/>
      <c r="D320" s="708" t="s">
        <v>631</v>
      </c>
      <c r="E320" s="701"/>
      <c r="F320" s="782"/>
      <c r="G320" s="719"/>
      <c r="H320" s="709">
        <v>4.4099999999999999E-3</v>
      </c>
      <c r="I320" s="709"/>
      <c r="J320" s="709">
        <v>4.4099999999999999E-3</v>
      </c>
      <c r="K320" s="709">
        <f t="shared" si="72"/>
        <v>0</v>
      </c>
      <c r="L320" s="719"/>
      <c r="M320" s="719"/>
      <c r="N320" s="738"/>
      <c r="O320" s="719"/>
    </row>
    <row r="321" spans="2:15" x14ac:dyDescent="0.2">
      <c r="B321" s="691">
        <f>IF(D321&lt;&gt;"",COUNTA($D$279:D321),"")</f>
        <v>38</v>
      </c>
      <c r="C321" s="691"/>
      <c r="D321" s="701" t="s">
        <v>632</v>
      </c>
      <c r="E321" s="701"/>
      <c r="F321" s="782"/>
      <c r="G321" s="719"/>
      <c r="H321" s="709">
        <v>4.4999999999999997E-3</v>
      </c>
      <c r="I321" s="709"/>
      <c r="J321" s="709">
        <v>4.4999999999999997E-3</v>
      </c>
      <c r="K321" s="709">
        <f t="shared" si="72"/>
        <v>0</v>
      </c>
      <c r="L321" s="719"/>
      <c r="M321" s="719"/>
      <c r="N321" s="738"/>
      <c r="O321" s="719"/>
    </row>
    <row r="322" spans="2:15" x14ac:dyDescent="0.2">
      <c r="B322" s="691">
        <f>IF(D322&lt;&gt;"",COUNTA($D$279:D322),"")</f>
        <v>39</v>
      </c>
      <c r="C322" s="691"/>
      <c r="D322" s="701" t="s">
        <v>633</v>
      </c>
      <c r="E322" s="701"/>
      <c r="F322" s="782"/>
      <c r="G322" s="719"/>
      <c r="H322" s="709">
        <v>3.6999999999999999E-4</v>
      </c>
      <c r="I322" s="709"/>
      <c r="J322" s="709">
        <v>3.6999999999999999E-4</v>
      </c>
      <c r="K322" s="709">
        <f t="shared" si="72"/>
        <v>0</v>
      </c>
      <c r="L322" s="719"/>
      <c r="M322" s="719"/>
      <c r="N322" s="738"/>
      <c r="O322" s="719"/>
    </row>
    <row r="323" spans="2:15" x14ac:dyDescent="0.2">
      <c r="B323" s="691">
        <f>IF(D323&lt;&gt;"",COUNTA($D$279:D323),"")</f>
        <v>40</v>
      </c>
      <c r="C323" s="691"/>
      <c r="D323" s="701" t="s">
        <v>634</v>
      </c>
      <c r="E323" s="701"/>
      <c r="F323" s="782"/>
      <c r="G323" s="719"/>
      <c r="H323" s="709">
        <v>8.94E-3</v>
      </c>
      <c r="I323" s="709"/>
      <c r="J323" s="709">
        <v>8.94E-3</v>
      </c>
      <c r="K323" s="709">
        <f t="shared" si="72"/>
        <v>0</v>
      </c>
      <c r="L323" s="719"/>
      <c r="M323" s="719"/>
      <c r="N323" s="738"/>
      <c r="O323" s="719"/>
    </row>
    <row r="324" spans="2:15" x14ac:dyDescent="0.2">
      <c r="B324" s="691">
        <f>IF(D324&lt;&gt;"",COUNTA($D$279:D324),"")</f>
        <v>41</v>
      </c>
      <c r="C324" s="691"/>
      <c r="D324" s="701" t="s">
        <v>635</v>
      </c>
      <c r="E324" s="701"/>
      <c r="F324" s="782"/>
      <c r="G324" s="719"/>
      <c r="H324" s="709">
        <v>-1.9300000000000001E-3</v>
      </c>
      <c r="I324" s="709"/>
      <c r="J324" s="709">
        <v>-1.9300000000000001E-3</v>
      </c>
      <c r="K324" s="709">
        <f t="shared" si="72"/>
        <v>0</v>
      </c>
      <c r="L324" s="719"/>
      <c r="M324" s="719"/>
      <c r="N324" s="738"/>
      <c r="O324" s="719"/>
    </row>
    <row r="325" spans="2:15" x14ac:dyDescent="0.2">
      <c r="B325" s="691">
        <f>IF(D325&lt;&gt;"",COUNTA($D$279:D325),"")</f>
        <v>42</v>
      </c>
      <c r="C325" s="691"/>
      <c r="D325" s="701" t="s">
        <v>636</v>
      </c>
      <c r="E325" s="701"/>
      <c r="F325" s="782"/>
      <c r="G325" s="719"/>
      <c r="H325" s="709">
        <v>3.0000000000000001E-5</v>
      </c>
      <c r="I325" s="709"/>
      <c r="J325" s="709">
        <v>3.0000000000000001E-5</v>
      </c>
      <c r="K325" s="709">
        <f t="shared" si="72"/>
        <v>0</v>
      </c>
      <c r="L325" s="719"/>
      <c r="M325" s="719"/>
      <c r="N325" s="738"/>
      <c r="O325" s="719"/>
    </row>
    <row r="326" spans="2:15" x14ac:dyDescent="0.2">
      <c r="B326" s="691">
        <f>IF(D326&lt;&gt;"",COUNTA($D$279:D326),"")</f>
        <v>43</v>
      </c>
      <c r="C326" s="691"/>
      <c r="D326" s="701" t="s">
        <v>637</v>
      </c>
      <c r="E326" s="701"/>
      <c r="F326" s="782"/>
      <c r="G326" s="719"/>
      <c r="H326" s="709">
        <v>3.65E-3</v>
      </c>
      <c r="I326" s="709"/>
      <c r="J326" s="709">
        <v>3.65E-3</v>
      </c>
      <c r="K326" s="709">
        <f t="shared" si="72"/>
        <v>0</v>
      </c>
      <c r="L326" s="719"/>
      <c r="M326" s="719"/>
      <c r="N326" s="738"/>
      <c r="O326" s="719"/>
    </row>
    <row r="327" spans="2:15" x14ac:dyDescent="0.2">
      <c r="B327" s="691">
        <f>IF(D327&lt;&gt;"",COUNTA($D$279:D327),"")</f>
        <v>44</v>
      </c>
      <c r="C327" s="691"/>
      <c r="D327" s="701" t="s">
        <v>638</v>
      </c>
      <c r="E327" s="701"/>
      <c r="F327" s="782"/>
      <c r="G327" s="719"/>
      <c r="H327" s="709">
        <v>0</v>
      </c>
      <c r="I327" s="709"/>
      <c r="J327" s="709">
        <v>0</v>
      </c>
      <c r="K327" s="709">
        <f t="shared" si="72"/>
        <v>0</v>
      </c>
      <c r="L327" s="719"/>
      <c r="M327" s="719"/>
      <c r="N327" s="738"/>
      <c r="O327" s="719"/>
    </row>
    <row r="328" spans="2:15" x14ac:dyDescent="0.2">
      <c r="B328" s="691">
        <f>IF(D328&lt;&gt;"",COUNTA($D$279:D328),"")</f>
        <v>45</v>
      </c>
      <c r="C328" s="691"/>
      <c r="D328" s="701" t="s">
        <v>639</v>
      </c>
      <c r="E328" s="701"/>
      <c r="F328" s="782"/>
      <c r="G328" s="719"/>
      <c r="H328" s="709">
        <v>-2.5000000000000001E-4</v>
      </c>
      <c r="I328" s="709"/>
      <c r="J328" s="709">
        <v>-2.5000000000000001E-4</v>
      </c>
      <c r="K328" s="709">
        <f t="shared" si="72"/>
        <v>0</v>
      </c>
      <c r="L328" s="719"/>
      <c r="M328" s="719"/>
      <c r="N328" s="738"/>
      <c r="O328" s="719"/>
    </row>
    <row r="329" spans="2:15" ht="15.75" x14ac:dyDescent="0.25">
      <c r="B329" s="691">
        <f>IF(D329&lt;&gt;"",COUNTA($D$279:D329),"")</f>
        <v>46</v>
      </c>
      <c r="C329" s="691"/>
      <c r="D329" s="701" t="s">
        <v>640</v>
      </c>
      <c r="E329"/>
      <c r="F329" s="719"/>
      <c r="G329" s="719"/>
      <c r="H329" s="709">
        <v>1.0000000000000001E-5</v>
      </c>
      <c r="I329" s="709"/>
      <c r="J329" s="709">
        <v>1.0000000000000001E-5</v>
      </c>
      <c r="K329" s="709">
        <f t="shared" si="72"/>
        <v>0</v>
      </c>
      <c r="L329" s="719"/>
      <c r="M329" s="719"/>
      <c r="N329" s="738"/>
      <c r="O329" s="719"/>
    </row>
    <row r="330" spans="2:15" x14ac:dyDescent="0.2">
      <c r="B330" s="691">
        <f>IF(D330&lt;&gt;"",COUNTA($D$279:D330),"")</f>
        <v>47</v>
      </c>
      <c r="C330" s="691"/>
      <c r="D330" s="701" t="s">
        <v>641</v>
      </c>
      <c r="E330" s="701"/>
      <c r="F330" s="782"/>
      <c r="G330" s="719"/>
      <c r="H330" s="709">
        <v>-2.7999999999999998E-4</v>
      </c>
      <c r="I330" s="709"/>
      <c r="J330" s="709">
        <v>-2.7999999999999998E-4</v>
      </c>
      <c r="K330" s="709">
        <f t="shared" si="72"/>
        <v>0</v>
      </c>
      <c r="L330" s="719"/>
      <c r="M330" s="719"/>
      <c r="N330" s="738"/>
      <c r="O330" s="719"/>
    </row>
    <row r="331" spans="2:15" x14ac:dyDescent="0.2">
      <c r="B331" s="691">
        <f>IF(D331&lt;&gt;"",COUNTA($D$279:D331),"")</f>
        <v>48</v>
      </c>
      <c r="C331" s="691"/>
      <c r="D331" s="701" t="s">
        <v>642</v>
      </c>
      <c r="E331" s="701"/>
      <c r="F331" s="782"/>
      <c r="G331" s="719"/>
      <c r="H331" s="709">
        <v>8.3000000000000001E-4</v>
      </c>
      <c r="I331" s="709"/>
      <c r="J331" s="709">
        <v>8.3000000000000001E-4</v>
      </c>
      <c r="K331" s="709">
        <f t="shared" si="72"/>
        <v>0</v>
      </c>
      <c r="L331" s="719"/>
      <c r="M331" s="719"/>
      <c r="N331" s="738"/>
      <c r="O331" s="719"/>
    </row>
    <row r="332" spans="2:15" x14ac:dyDescent="0.2">
      <c r="B332" s="691">
        <f>IF(D332&lt;&gt;"",COUNTA($D$279:D332),"")</f>
        <v>49</v>
      </c>
      <c r="C332" s="691"/>
      <c r="D332" s="701" t="s">
        <v>643</v>
      </c>
      <c r="E332" s="701"/>
      <c r="F332" s="782"/>
      <c r="G332" s="719"/>
      <c r="H332" s="709">
        <v>-9.8999999999999999E-4</v>
      </c>
      <c r="I332" s="709"/>
      <c r="J332" s="709">
        <v>-9.8999999999999999E-4</v>
      </c>
      <c r="K332" s="709">
        <f t="shared" si="72"/>
        <v>0</v>
      </c>
      <c r="L332" s="719"/>
      <c r="M332" s="719"/>
      <c r="N332" s="738"/>
      <c r="O332" s="719"/>
    </row>
    <row r="333" spans="2:15" x14ac:dyDescent="0.2">
      <c r="B333" s="691">
        <f>IF(D333&lt;&gt;"",COUNTA($D$279:D333),"")</f>
        <v>50</v>
      </c>
      <c r="C333" s="691"/>
      <c r="D333" s="701" t="s">
        <v>644</v>
      </c>
      <c r="E333" s="701"/>
      <c r="F333" s="782"/>
      <c r="G333" s="719"/>
      <c r="H333" s="709">
        <v>1.01E-3</v>
      </c>
      <c r="I333" s="709"/>
      <c r="J333" s="709">
        <v>1.01E-3</v>
      </c>
      <c r="K333" s="709">
        <f t="shared" si="72"/>
        <v>0</v>
      </c>
      <c r="L333" s="719"/>
      <c r="M333" s="719"/>
      <c r="N333" s="738"/>
      <c r="O333" s="719"/>
    </row>
    <row r="334" spans="2:15" x14ac:dyDescent="0.2">
      <c r="B334" s="691">
        <f>IF(D334&lt;&gt;"",COUNTA($D$279:D334),"")</f>
        <v>51</v>
      </c>
      <c r="C334" s="691"/>
      <c r="D334" s="701" t="s">
        <v>645</v>
      </c>
      <c r="E334" s="701"/>
      <c r="F334" s="782"/>
      <c r="G334" s="719"/>
      <c r="H334" s="709">
        <v>1.6800000000000001E-3</v>
      </c>
      <c r="I334" s="709"/>
      <c r="J334" s="709">
        <v>1.6800000000000001E-3</v>
      </c>
      <c r="K334" s="709">
        <f t="shared" si="72"/>
        <v>0</v>
      </c>
      <c r="L334" s="719"/>
      <c r="M334" s="719"/>
      <c r="N334" s="738"/>
      <c r="O334" s="719"/>
    </row>
    <row r="335" spans="2:15" x14ac:dyDescent="0.2">
      <c r="B335" s="691">
        <f>IF(D335&lt;&gt;"",COUNTA($D$279:D335),"")</f>
        <v>52</v>
      </c>
      <c r="C335" s="691"/>
      <c r="D335" s="701" t="s">
        <v>646</v>
      </c>
      <c r="E335" s="701"/>
      <c r="F335" s="782"/>
      <c r="G335" s="719"/>
      <c r="H335" s="709">
        <v>-3.6999999999999999E-4</v>
      </c>
      <c r="I335" s="709"/>
      <c r="J335" s="709">
        <v>-3.6999999999999999E-4</v>
      </c>
      <c r="K335" s="709">
        <f t="shared" si="72"/>
        <v>0</v>
      </c>
      <c r="L335" s="719"/>
      <c r="M335" s="719"/>
      <c r="N335" s="738"/>
      <c r="O335" s="719"/>
    </row>
    <row r="336" spans="2:15" x14ac:dyDescent="0.2">
      <c r="B336" s="691">
        <f>IF(D336&lt;&gt;"",COUNTA($D$279:D336),"")</f>
        <v>53</v>
      </c>
      <c r="C336" s="691"/>
      <c r="D336" s="701" t="s">
        <v>656</v>
      </c>
      <c r="E336" s="701"/>
      <c r="F336" s="782"/>
      <c r="G336" s="719"/>
      <c r="H336" s="709">
        <v>12.81</v>
      </c>
      <c r="I336" s="709"/>
      <c r="J336" s="709">
        <v>12.81</v>
      </c>
      <c r="K336" s="709">
        <f t="shared" si="72"/>
        <v>0</v>
      </c>
      <c r="L336" s="719"/>
      <c r="M336" s="719"/>
      <c r="N336" s="738"/>
      <c r="O336" s="719"/>
    </row>
    <row r="337" spans="2:15" x14ac:dyDescent="0.2">
      <c r="B337" s="691">
        <f>IF(D337&lt;&gt;"",COUNTA($D$279:D337),"")</f>
        <v>54</v>
      </c>
      <c r="C337" s="691"/>
      <c r="D337" s="701" t="s">
        <v>648</v>
      </c>
      <c r="E337" s="701"/>
      <c r="F337" s="782"/>
      <c r="G337" s="719"/>
      <c r="H337" s="709">
        <f>EES!$G$22</f>
        <v>1.209E-2</v>
      </c>
      <c r="I337" s="709"/>
      <c r="J337" s="709">
        <f>EES!$K$22</f>
        <v>1.4290000000000001E-2</v>
      </c>
      <c r="K337" s="709">
        <f t="shared" si="72"/>
        <v>2.2000000000000006E-3</v>
      </c>
      <c r="L337" s="719"/>
      <c r="N337" s="712"/>
      <c r="O337" s="719"/>
    </row>
    <row r="338" spans="2:15" x14ac:dyDescent="0.2">
      <c r="B338" s="691">
        <f>IF(D338&lt;&gt;"",COUNTA($D$279:D338),"")</f>
        <v>55</v>
      </c>
      <c r="C338" s="691"/>
      <c r="D338" s="701" t="s">
        <v>649</v>
      </c>
      <c r="E338" s="701"/>
      <c r="F338" s="782"/>
      <c r="G338" s="719"/>
      <c r="H338" s="709">
        <v>2.5000000000000001E-3</v>
      </c>
      <c r="I338" s="709"/>
      <c r="J338" s="709">
        <v>2.5000000000000001E-3</v>
      </c>
      <c r="K338" s="709">
        <f t="shared" si="72"/>
        <v>0</v>
      </c>
      <c r="L338" s="719"/>
      <c r="M338" s="719"/>
      <c r="N338" s="738"/>
      <c r="O338" s="719"/>
    </row>
    <row r="339" spans="2:15" x14ac:dyDescent="0.2">
      <c r="B339" s="691">
        <f>IF(D339&lt;&gt;"",COUNTA($D$279:D339),"")</f>
        <v>56</v>
      </c>
      <c r="C339" s="691"/>
      <c r="D339" s="701" t="s">
        <v>650</v>
      </c>
      <c r="E339" s="701"/>
      <c r="F339" s="782"/>
      <c r="G339" s="719"/>
      <c r="H339" s="709">
        <v>5.0000000000000001E-4</v>
      </c>
      <c r="I339" s="709"/>
      <c r="J339" s="709">
        <v>5.0000000000000001E-4</v>
      </c>
      <c r="K339" s="709">
        <f t="shared" si="72"/>
        <v>0</v>
      </c>
      <c r="L339" s="719"/>
      <c r="M339" s="719"/>
      <c r="N339" s="738"/>
      <c r="O339" s="719"/>
    </row>
    <row r="340" spans="2:15" x14ac:dyDescent="0.2">
      <c r="B340" s="691">
        <f>IF(D340&lt;&gt;"",COUNTA($D$279:D340),"")</f>
        <v>57</v>
      </c>
      <c r="C340" s="691"/>
      <c r="D340" s="701" t="str">
        <f>D269</f>
        <v>Supply Charge</v>
      </c>
      <c r="E340" s="701"/>
      <c r="F340" s="782"/>
      <c r="G340" s="719"/>
      <c r="H340" s="709">
        <v>9.7790000000000002E-2</v>
      </c>
      <c r="I340" s="709"/>
      <c r="J340" s="709">
        <v>9.7790000000000002E-2</v>
      </c>
      <c r="K340" s="709">
        <f t="shared" si="72"/>
        <v>0</v>
      </c>
      <c r="L340" s="719"/>
      <c r="M340" s="719"/>
      <c r="N340" s="738"/>
      <c r="O340" s="719"/>
    </row>
    <row r="343" spans="2:15" ht="15.75" x14ac:dyDescent="0.25">
      <c r="B343" s="1070" t="str">
        <f>$B$3</f>
        <v>Cape Light Compact JPE</v>
      </c>
      <c r="C343" s="1070"/>
      <c r="D343" s="1070"/>
      <c r="E343" s="1070"/>
      <c r="F343" s="1070"/>
      <c r="G343" s="1070"/>
      <c r="H343" s="1070"/>
      <c r="I343" s="1070"/>
      <c r="J343" s="1070"/>
      <c r="K343" s="1070"/>
      <c r="L343" s="1070"/>
      <c r="M343" s="1070"/>
      <c r="N343" s="1070"/>
      <c r="O343" s="1070"/>
    </row>
    <row r="344" spans="2:15" ht="15.75" x14ac:dyDescent="0.25">
      <c r="B344" s="1070" t="str">
        <f>$B$4</f>
        <v>Calculation of Monthly Typical Bill</v>
      </c>
      <c r="C344" s="1070"/>
      <c r="D344" s="1070"/>
      <c r="E344" s="1070"/>
      <c r="F344" s="1070"/>
      <c r="G344" s="1070"/>
      <c r="H344" s="1070"/>
      <c r="I344" s="1070"/>
      <c r="J344" s="1070"/>
      <c r="K344" s="1070"/>
      <c r="L344" s="1070"/>
      <c r="M344" s="1070"/>
      <c r="N344" s="1070"/>
      <c r="O344" s="1070"/>
    </row>
    <row r="345" spans="2:15" ht="15.75" x14ac:dyDescent="0.25">
      <c r="B345" s="1070" t="str">
        <f>$B$5</f>
        <v>Illustrative 2024 EES Rates</v>
      </c>
      <c r="C345" s="1070"/>
      <c r="D345" s="1070"/>
      <c r="E345" s="1070"/>
      <c r="F345" s="1070"/>
      <c r="G345" s="1070"/>
      <c r="H345" s="1070"/>
      <c r="I345" s="1070"/>
      <c r="J345" s="1070"/>
      <c r="K345" s="1070"/>
      <c r="L345" s="1070"/>
      <c r="M345" s="1070"/>
      <c r="N345" s="1070"/>
      <c r="O345" s="1070"/>
    </row>
    <row r="346" spans="2:15" ht="15.75" x14ac:dyDescent="0.25">
      <c r="B346" s="723"/>
      <c r="C346" s="723"/>
      <c r="D346" s="701"/>
      <c r="E346" s="701"/>
      <c r="F346" s="715"/>
      <c r="G346" s="777"/>
      <c r="H346" s="778"/>
      <c r="I346" s="701"/>
      <c r="J346" s="701"/>
      <c r="K346" s="701"/>
      <c r="L346" s="701"/>
      <c r="M346" s="701"/>
      <c r="N346" s="701"/>
      <c r="O346" s="701"/>
    </row>
    <row r="347" spans="2:15" ht="15.75" x14ac:dyDescent="0.25">
      <c r="B347" s="1071" t="s">
        <v>607</v>
      </c>
      <c r="C347" s="1071"/>
      <c r="D347" s="1071"/>
      <c r="E347" s="1071"/>
      <c r="F347" s="1071"/>
      <c r="G347" s="1071"/>
      <c r="H347" s="1071"/>
      <c r="I347" s="1071"/>
      <c r="J347" s="1071"/>
      <c r="K347" s="1071"/>
      <c r="L347" s="1071"/>
      <c r="M347" s="1071"/>
      <c r="N347" s="1071"/>
      <c r="O347" s="1071"/>
    </row>
    <row r="348" spans="2:15" ht="15.75" x14ac:dyDescent="0.25">
      <c r="B348" s="716"/>
      <c r="C348" s="716"/>
      <c r="D348" s="724"/>
      <c r="E348" s="701"/>
      <c r="F348" s="701"/>
      <c r="G348" s="701"/>
      <c r="H348" s="783"/>
      <c r="I348" s="701"/>
      <c r="J348"/>
      <c r="K348"/>
      <c r="L348"/>
      <c r="M348"/>
      <c r="N348"/>
      <c r="O348"/>
    </row>
    <row r="349" spans="2:15" ht="15.75" x14ac:dyDescent="0.25">
      <c r="B349" s="716"/>
      <c r="C349" s="716"/>
      <c r="D349" s="701"/>
      <c r="E349" s="701"/>
      <c r="F349" s="701"/>
      <c r="G349" s="701"/>
      <c r="H349" s="779"/>
      <c r="I349" s="701"/>
      <c r="J349"/>
      <c r="K349"/>
      <c r="L349"/>
      <c r="M349"/>
      <c r="N349"/>
      <c r="O349"/>
    </row>
    <row r="350" spans="2:15" ht="15.75" x14ac:dyDescent="0.25">
      <c r="B350" s="691">
        <f>IF(D350&lt;&gt;"",COUNTA($D$350:D350),"")</f>
        <v>1</v>
      </c>
      <c r="C350" s="691"/>
      <c r="D350" s="716" t="s">
        <v>12</v>
      </c>
      <c r="E350" s="716" t="s">
        <v>12</v>
      </c>
      <c r="F350" s="1067" t="str">
        <f>$F$10</f>
        <v>2024 Without CVEO</v>
      </c>
      <c r="G350" s="1067"/>
      <c r="H350" s="1067"/>
      <c r="I350" s="690"/>
      <c r="J350" s="1067" t="str">
        <f>$J$10</f>
        <v>2024 With CVEO</v>
      </c>
      <c r="K350" s="1068"/>
      <c r="L350" s="1068"/>
      <c r="M350"/>
      <c r="N350" s="1068" t="str">
        <f>$N$10</f>
        <v>Total Bill Impact</v>
      </c>
      <c r="O350" s="1068"/>
    </row>
    <row r="351" spans="2:15" ht="15.75" x14ac:dyDescent="0.25">
      <c r="B351" s="691">
        <f>IF(D351&lt;&gt;"",COUNTA($D$350:D351),"")</f>
        <v>2</v>
      </c>
      <c r="C351" s="691"/>
      <c r="D351" s="725" t="s">
        <v>653</v>
      </c>
      <c r="E351" s="725" t="s">
        <v>158</v>
      </c>
      <c r="F351" s="725" t="s">
        <v>624</v>
      </c>
      <c r="G351" s="725" t="s">
        <v>625</v>
      </c>
      <c r="H351" s="725" t="s">
        <v>176</v>
      </c>
      <c r="I351" s="701"/>
      <c r="J351" s="725" t="s">
        <v>624</v>
      </c>
      <c r="K351" s="725" t="s">
        <v>625</v>
      </c>
      <c r="L351" s="725" t="s">
        <v>176</v>
      </c>
      <c r="M351"/>
      <c r="N351" s="725" t="s">
        <v>626</v>
      </c>
      <c r="O351" s="725" t="s">
        <v>120</v>
      </c>
    </row>
    <row r="352" spans="2:15" ht="15.75" x14ac:dyDescent="0.25">
      <c r="B352" s="691" t="str">
        <f>IF(D352&lt;&gt;"",COUNTA($D$350:D352),"")</f>
        <v/>
      </c>
      <c r="C352" s="691"/>
      <c r="D352" s="725"/>
      <c r="E352" s="725"/>
      <c r="F352" s="725"/>
      <c r="G352" s="725"/>
      <c r="H352" s="725"/>
      <c r="I352" s="701"/>
      <c r="J352" s="725"/>
      <c r="K352" s="725"/>
      <c r="L352" s="725"/>
      <c r="M352"/>
      <c r="N352" s="725"/>
      <c r="O352" s="725"/>
    </row>
    <row r="353" spans="2:20" ht="15.75" x14ac:dyDescent="0.25">
      <c r="B353" s="691">
        <f>IF(D353&lt;&gt;"",COUNTA($D$350:D353),"")</f>
        <v>3</v>
      </c>
      <c r="C353" s="691"/>
      <c r="D353" s="716" t="s">
        <v>654</v>
      </c>
      <c r="E353" s="716">
        <v>250</v>
      </c>
      <c r="F353" s="725"/>
      <c r="G353" s="725"/>
      <c r="H353" s="725"/>
      <c r="I353" s="701"/>
      <c r="J353" s="725"/>
      <c r="K353" s="725"/>
      <c r="L353" s="725"/>
      <c r="M353"/>
      <c r="N353" s="725"/>
      <c r="O353" s="725"/>
    </row>
    <row r="354" spans="2:20" x14ac:dyDescent="0.2">
      <c r="B354" s="691">
        <f>IF(D354&lt;&gt;"",COUNTA($D$350:D354),"")</f>
        <v>4</v>
      </c>
      <c r="C354" s="691"/>
      <c r="D354" s="727">
        <v>90</v>
      </c>
      <c r="E354" s="717">
        <v>22500</v>
      </c>
      <c r="F354" s="743">
        <f t="shared" ref="F354:F359" si="73">ROUND($H$380+$D354*SUM($H$381,$H$401)+$E354*SUM($H$382:$H$400,$H$402:$H$404),2)</f>
        <v>3254.93</v>
      </c>
      <c r="G354" s="743">
        <f t="shared" ref="G354:G359" si="74">ROUND($H$405*$E354,2)</f>
        <v>2200.2800000000002</v>
      </c>
      <c r="H354" s="718">
        <f t="shared" ref="H354:H359" si="75">SUM(F354:G354)</f>
        <v>5455.21</v>
      </c>
      <c r="I354" s="719"/>
      <c r="J354" s="743">
        <f t="shared" ref="J354:J359" si="76">ROUND($J$380+$D354*SUM($J$381,$J$401)+$E354*SUM($J$382:$J$400,$J$402:$J$404),2)</f>
        <v>3304.43</v>
      </c>
      <c r="K354" s="728">
        <f t="shared" ref="K354:K359" si="77">ROUND($J$405*$E354,2)</f>
        <v>2200.2800000000002</v>
      </c>
      <c r="L354" s="718">
        <f t="shared" ref="L354:L359" si="78">SUM(J354:K354)</f>
        <v>5504.71</v>
      </c>
      <c r="M354" s="719"/>
      <c r="N354" s="718">
        <f t="shared" ref="N354:N359" si="79">+L354-H354</f>
        <v>49.5</v>
      </c>
      <c r="O354" s="720">
        <f t="shared" ref="O354:O359" si="80">+N354/H354</f>
        <v>9.0738944971870926E-3</v>
      </c>
    </row>
    <row r="355" spans="2:20" x14ac:dyDescent="0.2">
      <c r="B355" s="691">
        <f>IF(D355&lt;&gt;"",COUNTA($D$350:D355),"")</f>
        <v>5</v>
      </c>
      <c r="C355" s="691"/>
      <c r="D355" s="727">
        <v>350</v>
      </c>
      <c r="E355" s="717">
        <v>87500</v>
      </c>
      <c r="F355" s="743">
        <f t="shared" si="73"/>
        <v>9971.3799999999992</v>
      </c>
      <c r="G355" s="743">
        <f t="shared" si="74"/>
        <v>8556.6299999999992</v>
      </c>
      <c r="H355" s="718">
        <f t="shared" si="75"/>
        <v>18528.009999999998</v>
      </c>
      <c r="I355" s="719"/>
      <c r="J355" s="743">
        <f t="shared" si="76"/>
        <v>10163.879999999999</v>
      </c>
      <c r="K355" s="728">
        <f t="shared" si="77"/>
        <v>8556.6299999999992</v>
      </c>
      <c r="L355" s="718">
        <f t="shared" si="78"/>
        <v>18720.509999999998</v>
      </c>
      <c r="M355" s="719"/>
      <c r="N355" s="718">
        <f t="shared" si="79"/>
        <v>192.5</v>
      </c>
      <c r="O355" s="720">
        <f t="shared" si="80"/>
        <v>1.0389674876039036E-2</v>
      </c>
    </row>
    <row r="356" spans="2:20" x14ac:dyDescent="0.2">
      <c r="B356" s="691">
        <f>IF(D356&lt;&gt;"",COUNTA($D$350:D356),"")</f>
        <v>6</v>
      </c>
      <c r="C356" s="691"/>
      <c r="D356" s="727">
        <v>600</v>
      </c>
      <c r="E356" s="717">
        <v>150000</v>
      </c>
      <c r="F356" s="743">
        <f t="shared" si="73"/>
        <v>16429.5</v>
      </c>
      <c r="G356" s="743">
        <f t="shared" si="74"/>
        <v>14668.5</v>
      </c>
      <c r="H356" s="718">
        <f t="shared" si="75"/>
        <v>31098</v>
      </c>
      <c r="I356" s="719"/>
      <c r="J356" s="743">
        <f t="shared" si="76"/>
        <v>16759.5</v>
      </c>
      <c r="K356" s="728">
        <f t="shared" si="77"/>
        <v>14668.5</v>
      </c>
      <c r="L356" s="718">
        <f t="shared" si="78"/>
        <v>31428</v>
      </c>
      <c r="M356" s="719"/>
      <c r="N356" s="718">
        <f t="shared" si="79"/>
        <v>330</v>
      </c>
      <c r="O356" s="720">
        <f t="shared" si="80"/>
        <v>1.0611614894848543E-2</v>
      </c>
    </row>
    <row r="357" spans="2:20" x14ac:dyDescent="0.2">
      <c r="B357" s="691">
        <f>IF(D357&lt;&gt;"",COUNTA($D$350:D357),"")</f>
        <v>7</v>
      </c>
      <c r="C357" s="691"/>
      <c r="D357" s="727">
        <v>1000</v>
      </c>
      <c r="E357" s="717">
        <v>250000</v>
      </c>
      <c r="F357" s="743">
        <f t="shared" si="73"/>
        <v>26762.5</v>
      </c>
      <c r="G357" s="743">
        <f t="shared" si="74"/>
        <v>24447.5</v>
      </c>
      <c r="H357" s="718">
        <f t="shared" si="75"/>
        <v>51210</v>
      </c>
      <c r="I357" s="719"/>
      <c r="J357" s="743">
        <f t="shared" si="76"/>
        <v>27312.5</v>
      </c>
      <c r="K357" s="728">
        <f t="shared" si="77"/>
        <v>24447.5</v>
      </c>
      <c r="L357" s="718">
        <f t="shared" si="78"/>
        <v>51760</v>
      </c>
      <c r="M357" s="719"/>
      <c r="N357" s="718">
        <f t="shared" si="79"/>
        <v>550</v>
      </c>
      <c r="O357" s="720">
        <f t="shared" si="80"/>
        <v>1.0740089826205819E-2</v>
      </c>
    </row>
    <row r="358" spans="2:20" x14ac:dyDescent="0.2">
      <c r="B358" s="691">
        <f>IF(D358&lt;&gt;"",COUNTA($D$350:D358),"")</f>
        <v>8</v>
      </c>
      <c r="C358" s="691"/>
      <c r="D358" s="717">
        <v>2500</v>
      </c>
      <c r="E358" s="717">
        <v>625000</v>
      </c>
      <c r="F358" s="743">
        <f t="shared" si="73"/>
        <v>65511.25</v>
      </c>
      <c r="G358" s="743">
        <f t="shared" si="74"/>
        <v>61118.75</v>
      </c>
      <c r="H358" s="718">
        <f t="shared" si="75"/>
        <v>126630</v>
      </c>
      <c r="I358" s="719"/>
      <c r="J358" s="743">
        <f t="shared" si="76"/>
        <v>66886.25</v>
      </c>
      <c r="K358" s="728">
        <f t="shared" si="77"/>
        <v>61118.75</v>
      </c>
      <c r="L358" s="718">
        <f t="shared" si="78"/>
        <v>128005</v>
      </c>
      <c r="M358" s="719"/>
      <c r="N358" s="718">
        <f t="shared" si="79"/>
        <v>1375</v>
      </c>
      <c r="O358" s="720">
        <f t="shared" si="80"/>
        <v>1.085840638079444E-2</v>
      </c>
      <c r="Q358" s="687" t="s">
        <v>27</v>
      </c>
    </row>
    <row r="359" spans="2:20" x14ac:dyDescent="0.2">
      <c r="B359" s="691">
        <f>IF(D359&lt;&gt;"",COUNTA($D$350:D359),"")</f>
        <v>9</v>
      </c>
      <c r="C359" s="691" t="s">
        <v>627</v>
      </c>
      <c r="D359" s="717">
        <v>920</v>
      </c>
      <c r="E359" s="717">
        <v>230000</v>
      </c>
      <c r="F359" s="743">
        <f t="shared" si="73"/>
        <v>24695.9</v>
      </c>
      <c r="G359" s="743">
        <f t="shared" si="74"/>
        <v>22491.7</v>
      </c>
      <c r="H359" s="718">
        <f t="shared" si="75"/>
        <v>47187.600000000006</v>
      </c>
      <c r="I359" s="719"/>
      <c r="J359" s="743">
        <f t="shared" si="76"/>
        <v>25201.9</v>
      </c>
      <c r="K359" s="728">
        <f t="shared" si="77"/>
        <v>22491.7</v>
      </c>
      <c r="L359" s="718">
        <f t="shared" si="78"/>
        <v>47693.600000000006</v>
      </c>
      <c r="M359" s="719"/>
      <c r="N359" s="718">
        <f t="shared" si="79"/>
        <v>506</v>
      </c>
      <c r="O359" s="720">
        <f t="shared" si="80"/>
        <v>1.0723156083377835E-2</v>
      </c>
    </row>
    <row r="360" spans="2:20" ht="15.75" x14ac:dyDescent="0.25">
      <c r="B360" s="691" t="str">
        <f>IF(D360&lt;&gt;"",COUNTA($D$350:D360),"")</f>
        <v/>
      </c>
      <c r="C360" s="691"/>
      <c r="D360" s="731"/>
      <c r="E360" s="731"/>
      <c r="F360" s="732"/>
      <c r="G360" s="732"/>
      <c r="H360" s="732"/>
      <c r="I360" s="733"/>
      <c r="J360" s="732"/>
      <c r="K360" s="732"/>
      <c r="L360" s="732"/>
      <c r="M360" s="733"/>
      <c r="N360" s="732"/>
      <c r="O360" s="736"/>
    </row>
    <row r="361" spans="2:20" x14ac:dyDescent="0.2">
      <c r="B361" s="691">
        <f>IF(D361&lt;&gt;"",COUNTA($D$350:D361),"")</f>
        <v>10</v>
      </c>
      <c r="C361" s="691"/>
      <c r="D361" s="716" t="s">
        <v>654</v>
      </c>
      <c r="E361" s="716">
        <v>400</v>
      </c>
      <c r="F361" s="719"/>
      <c r="G361" s="719"/>
      <c r="H361" s="719"/>
      <c r="I361" s="719"/>
      <c r="J361" s="719"/>
      <c r="K361" s="719"/>
      <c r="L361" s="719"/>
      <c r="M361" s="719"/>
      <c r="N361" s="719"/>
      <c r="O361" s="701"/>
    </row>
    <row r="362" spans="2:20" x14ac:dyDescent="0.2">
      <c r="B362" s="691">
        <f>IF(D362&lt;&gt;"",COUNTA($D$350:D362),"")</f>
        <v>11</v>
      </c>
      <c r="C362" s="691"/>
      <c r="D362" s="717">
        <v>220</v>
      </c>
      <c r="E362" s="717">
        <v>88000</v>
      </c>
      <c r="F362" s="743">
        <f t="shared" ref="F362:F367" si="81">ROUND($H$380+$D362*SUM($H$381,$H$401)+$E362*SUM($H$382:$H$400,$H$402:$H$404),2)</f>
        <v>7841.08</v>
      </c>
      <c r="G362" s="743">
        <f t="shared" ref="G362:G367" si="82">ROUND($H$405*$E362,2)</f>
        <v>8605.52</v>
      </c>
      <c r="H362" s="718">
        <f t="shared" ref="H362:H367" si="83">SUM(F362:G362)</f>
        <v>16446.599999999999</v>
      </c>
      <c r="I362" s="719"/>
      <c r="J362" s="743">
        <f t="shared" ref="J362:J367" si="84">ROUND($J$380+$D362*SUM($J$381,$J$401)+$E362*SUM($J$382:$J$400,$J$402:$J$404),2)</f>
        <v>8034.68</v>
      </c>
      <c r="K362" s="728">
        <f t="shared" ref="K362:K367" si="85">ROUND($J$405*$E362,2)</f>
        <v>8605.52</v>
      </c>
      <c r="L362" s="718">
        <f t="shared" ref="L362:L367" si="86">SUM(J362:K362)</f>
        <v>16640.2</v>
      </c>
      <c r="M362" s="719"/>
      <c r="N362" s="718">
        <f t="shared" ref="N362:N367" si="87">+L362-H362</f>
        <v>193.60000000000218</v>
      </c>
      <c r="O362" s="720">
        <f t="shared" ref="O362:O367" si="88">+N362/H362</f>
        <v>1.1771429961207922E-2</v>
      </c>
    </row>
    <row r="363" spans="2:20" x14ac:dyDescent="0.2">
      <c r="B363" s="691">
        <f>IF(D363&lt;&gt;"",COUNTA($D$350:D363),"")</f>
        <v>12</v>
      </c>
      <c r="C363" s="691"/>
      <c r="D363" s="717">
        <v>430</v>
      </c>
      <c r="E363" s="717">
        <v>172000</v>
      </c>
      <c r="F363" s="743">
        <f t="shared" si="81"/>
        <v>14438.02</v>
      </c>
      <c r="G363" s="743">
        <f t="shared" si="82"/>
        <v>16819.88</v>
      </c>
      <c r="H363" s="718">
        <f t="shared" si="83"/>
        <v>31257.9</v>
      </c>
      <c r="I363" s="719"/>
      <c r="J363" s="743">
        <f t="shared" si="84"/>
        <v>14816.42</v>
      </c>
      <c r="K363" s="728">
        <f t="shared" si="85"/>
        <v>16819.88</v>
      </c>
      <c r="L363" s="718">
        <f t="shared" si="86"/>
        <v>31636.300000000003</v>
      </c>
      <c r="M363" s="719"/>
      <c r="N363" s="718">
        <f t="shared" si="87"/>
        <v>378.40000000000146</v>
      </c>
      <c r="O363" s="720">
        <f t="shared" si="88"/>
        <v>1.210573966901172E-2</v>
      </c>
    </row>
    <row r="364" spans="2:20" x14ac:dyDescent="0.2">
      <c r="B364" s="691">
        <f>IF(D364&lt;&gt;"",COUNTA($D$350:D364),"")</f>
        <v>13</v>
      </c>
      <c r="C364" s="691"/>
      <c r="D364" s="717">
        <v>630</v>
      </c>
      <c r="E364" s="717">
        <v>252000</v>
      </c>
      <c r="F364" s="743">
        <f t="shared" si="81"/>
        <v>20720.82</v>
      </c>
      <c r="G364" s="743">
        <f t="shared" si="82"/>
        <v>24643.08</v>
      </c>
      <c r="H364" s="718">
        <f t="shared" si="83"/>
        <v>45363.9</v>
      </c>
      <c r="I364" s="719"/>
      <c r="J364" s="743">
        <f t="shared" si="84"/>
        <v>21275.22</v>
      </c>
      <c r="K364" s="728">
        <f t="shared" si="85"/>
        <v>24643.08</v>
      </c>
      <c r="L364" s="718">
        <f t="shared" si="86"/>
        <v>45918.3</v>
      </c>
      <c r="M364" s="719"/>
      <c r="N364" s="718">
        <f t="shared" si="87"/>
        <v>554.40000000000146</v>
      </c>
      <c r="O364" s="720">
        <f t="shared" si="88"/>
        <v>1.2221171460125815E-2</v>
      </c>
    </row>
    <row r="365" spans="2:20" x14ac:dyDescent="0.2">
      <c r="B365" s="691">
        <f>IF(D365&lt;&gt;"",COUNTA($D$350:D365),"")</f>
        <v>14</v>
      </c>
      <c r="C365" s="691"/>
      <c r="D365" s="717">
        <v>900</v>
      </c>
      <c r="E365" s="717">
        <v>360000</v>
      </c>
      <c r="F365" s="743">
        <f t="shared" si="81"/>
        <v>29202.6</v>
      </c>
      <c r="G365" s="743">
        <f t="shared" si="82"/>
        <v>35204.400000000001</v>
      </c>
      <c r="H365" s="718">
        <f t="shared" si="83"/>
        <v>64407</v>
      </c>
      <c r="I365" s="719"/>
      <c r="J365" s="743">
        <f t="shared" si="84"/>
        <v>29994.6</v>
      </c>
      <c r="K365" s="728">
        <f t="shared" si="85"/>
        <v>35204.400000000001</v>
      </c>
      <c r="L365" s="718">
        <f t="shared" si="86"/>
        <v>65199</v>
      </c>
      <c r="M365" s="719"/>
      <c r="N365" s="718">
        <f t="shared" si="87"/>
        <v>792</v>
      </c>
      <c r="O365" s="720">
        <f t="shared" si="88"/>
        <v>1.229680003726303E-2</v>
      </c>
    </row>
    <row r="366" spans="2:20" x14ac:dyDescent="0.2">
      <c r="B366" s="691">
        <f>IF(D366&lt;&gt;"",COUNTA($D$350:D366),"")</f>
        <v>15</v>
      </c>
      <c r="C366" s="691"/>
      <c r="D366" s="717">
        <v>2500</v>
      </c>
      <c r="E366" s="717">
        <v>1000000</v>
      </c>
      <c r="F366" s="743">
        <f t="shared" si="81"/>
        <v>79465</v>
      </c>
      <c r="G366" s="743">
        <f t="shared" si="82"/>
        <v>97790</v>
      </c>
      <c r="H366" s="718">
        <f t="shared" si="83"/>
        <v>177255</v>
      </c>
      <c r="I366" s="719"/>
      <c r="J366" s="743">
        <f t="shared" si="84"/>
        <v>81665</v>
      </c>
      <c r="K366" s="728">
        <f t="shared" si="85"/>
        <v>97790</v>
      </c>
      <c r="L366" s="718">
        <f t="shared" si="86"/>
        <v>179455</v>
      </c>
      <c r="M366" s="719"/>
      <c r="N366" s="718">
        <f t="shared" si="87"/>
        <v>2200</v>
      </c>
      <c r="O366" s="720">
        <f t="shared" si="88"/>
        <v>1.2411497560012412E-2</v>
      </c>
      <c r="T366" s="687" t="s">
        <v>27</v>
      </c>
    </row>
    <row r="367" spans="2:20" x14ac:dyDescent="0.2">
      <c r="B367" s="691">
        <f>IF(D367&lt;&gt;"",COUNTA($D$350:D367),"")</f>
        <v>16</v>
      </c>
      <c r="C367" s="691" t="s">
        <v>627</v>
      </c>
      <c r="D367" s="717">
        <v>933</v>
      </c>
      <c r="E367" s="717">
        <v>373200</v>
      </c>
      <c r="F367" s="743">
        <f t="shared" si="81"/>
        <v>30239.26</v>
      </c>
      <c r="G367" s="743">
        <f t="shared" si="82"/>
        <v>36495.230000000003</v>
      </c>
      <c r="H367" s="718">
        <f t="shared" si="83"/>
        <v>66734.490000000005</v>
      </c>
      <c r="I367" s="719"/>
      <c r="J367" s="743">
        <f t="shared" si="84"/>
        <v>31060.3</v>
      </c>
      <c r="K367" s="728">
        <f t="shared" si="85"/>
        <v>36495.230000000003</v>
      </c>
      <c r="L367" s="718">
        <f t="shared" si="86"/>
        <v>67555.53</v>
      </c>
      <c r="M367" s="719"/>
      <c r="N367" s="718">
        <f t="shared" si="87"/>
        <v>821.0399999999936</v>
      </c>
      <c r="O367" s="720">
        <f t="shared" si="88"/>
        <v>1.2303083458043863E-2</v>
      </c>
    </row>
    <row r="368" spans="2:20" ht="15.75" x14ac:dyDescent="0.25">
      <c r="B368" s="691" t="str">
        <f>IF(D368&lt;&gt;"",COUNTA($D$350:D368),"")</f>
        <v/>
      </c>
      <c r="C368" s="691"/>
      <c r="D368" s="731"/>
      <c r="E368" s="731"/>
      <c r="F368" s="732"/>
      <c r="G368" s="732"/>
      <c r="H368" s="732"/>
      <c r="I368" s="733"/>
      <c r="J368" s="732"/>
      <c r="K368" s="732"/>
      <c r="L368" s="732"/>
      <c r="M368" s="733"/>
      <c r="N368" s="732"/>
      <c r="O368" s="736"/>
    </row>
    <row r="369" spans="2:15" x14ac:dyDescent="0.2">
      <c r="B369" s="691">
        <f>IF(D369&lt;&gt;"",COUNTA($D$350:D369),"")</f>
        <v>17</v>
      </c>
      <c r="C369" s="691"/>
      <c r="D369" s="716" t="s">
        <v>654</v>
      </c>
      <c r="E369" s="716">
        <v>535</v>
      </c>
      <c r="F369" s="719"/>
      <c r="G369" s="719"/>
      <c r="H369" s="719"/>
      <c r="I369" s="719"/>
      <c r="J369" s="719"/>
      <c r="K369" s="719"/>
      <c r="L369" s="719"/>
      <c r="M369" s="719"/>
      <c r="N369" s="719"/>
      <c r="O369" s="701"/>
    </row>
    <row r="370" spans="2:15" x14ac:dyDescent="0.2">
      <c r="B370" s="691">
        <f>IF(D370&lt;&gt;"",COUNTA($D$350:D370),"")</f>
        <v>18</v>
      </c>
      <c r="C370" s="691"/>
      <c r="D370" s="717">
        <v>165</v>
      </c>
      <c r="E370" s="717">
        <v>88275</v>
      </c>
      <c r="F370" s="743">
        <f t="shared" ref="F370:F375" si="89">ROUND($H$380+$D370*SUM($H$381,$H$401)+$E370*SUM($H$382:$H$400,$H$402:$H$404),2)</f>
        <v>6942.16</v>
      </c>
      <c r="G370" s="743">
        <f t="shared" ref="G370:G375" si="90">ROUND($H$405*$E370,2)</f>
        <v>8632.41</v>
      </c>
      <c r="H370" s="718">
        <f t="shared" ref="H370:H375" si="91">SUM(F370:G370)</f>
        <v>15574.57</v>
      </c>
      <c r="I370" s="719"/>
      <c r="J370" s="743">
        <f t="shared" ref="J370:J375" si="92">ROUND($J$380+$D370*SUM($J$381,$J$401)+$E370*SUM($J$382:$J$400,$J$402:$J$404),2)</f>
        <v>7136.37</v>
      </c>
      <c r="K370" s="728">
        <f t="shared" ref="K370:K375" si="93">ROUND($J$405*$E370,2)</f>
        <v>8632.41</v>
      </c>
      <c r="L370" s="718">
        <f t="shared" ref="L370:L375" si="94">SUM(J370:K370)</f>
        <v>15768.779999999999</v>
      </c>
      <c r="M370" s="719"/>
      <c r="N370" s="718">
        <f t="shared" ref="N370:N375" si="95">+L370-H370</f>
        <v>194.20999999999913</v>
      </c>
      <c r="O370" s="720">
        <f t="shared" ref="O370:O375" si="96">+N370/H370</f>
        <v>1.2469686161479844E-2</v>
      </c>
    </row>
    <row r="371" spans="2:15" x14ac:dyDescent="0.2">
      <c r="B371" s="691">
        <f>IF(D371&lt;&gt;"",COUNTA($D$350:D371),"")</f>
        <v>19</v>
      </c>
      <c r="C371" s="691"/>
      <c r="D371" s="717">
        <v>380</v>
      </c>
      <c r="E371" s="717">
        <v>203300</v>
      </c>
      <c r="F371" s="743">
        <f t="shared" si="89"/>
        <v>14776.19</v>
      </c>
      <c r="G371" s="743">
        <f t="shared" si="90"/>
        <v>19880.71</v>
      </c>
      <c r="H371" s="718">
        <f t="shared" si="91"/>
        <v>34656.9</v>
      </c>
      <c r="I371" s="719"/>
      <c r="J371" s="743">
        <f t="shared" si="92"/>
        <v>15223.45</v>
      </c>
      <c r="K371" s="728">
        <f t="shared" si="93"/>
        <v>19880.71</v>
      </c>
      <c r="L371" s="718">
        <f t="shared" si="94"/>
        <v>35104.160000000003</v>
      </c>
      <c r="M371" s="719"/>
      <c r="N371" s="718">
        <f t="shared" si="95"/>
        <v>447.26000000000204</v>
      </c>
      <c r="O371" s="720">
        <f t="shared" si="96"/>
        <v>1.2905366608092531E-2</v>
      </c>
    </row>
    <row r="372" spans="2:15" x14ac:dyDescent="0.2">
      <c r="B372" s="691">
        <f>IF(D372&lt;&gt;"",COUNTA($D$350:D372),"")</f>
        <v>20</v>
      </c>
      <c r="C372" s="691"/>
      <c r="D372" s="717">
        <v>570</v>
      </c>
      <c r="E372" s="717">
        <v>304950</v>
      </c>
      <c r="F372" s="743">
        <f t="shared" si="89"/>
        <v>21699.29</v>
      </c>
      <c r="G372" s="743">
        <f t="shared" si="90"/>
        <v>29821.06</v>
      </c>
      <c r="H372" s="718">
        <f t="shared" si="91"/>
        <v>51520.350000000006</v>
      </c>
      <c r="I372" s="719"/>
      <c r="J372" s="743">
        <f t="shared" si="92"/>
        <v>22370.18</v>
      </c>
      <c r="K372" s="728">
        <f t="shared" si="93"/>
        <v>29821.06</v>
      </c>
      <c r="L372" s="718">
        <f t="shared" si="94"/>
        <v>52191.240000000005</v>
      </c>
      <c r="M372" s="719"/>
      <c r="N372" s="718">
        <f t="shared" si="95"/>
        <v>670.88999999999942</v>
      </c>
      <c r="O372" s="720">
        <f t="shared" si="96"/>
        <v>1.3021844766194316E-2</v>
      </c>
    </row>
    <row r="373" spans="2:15" x14ac:dyDescent="0.2">
      <c r="B373" s="691">
        <f>IF(D373&lt;&gt;"",COUNTA($D$350:D373),"")</f>
        <v>21</v>
      </c>
      <c r="C373" s="691"/>
      <c r="D373" s="717">
        <v>1100</v>
      </c>
      <c r="E373" s="717">
        <v>588500</v>
      </c>
      <c r="F373" s="743">
        <f t="shared" si="89"/>
        <v>41011.089999999997</v>
      </c>
      <c r="G373" s="743">
        <f t="shared" si="90"/>
        <v>57549.42</v>
      </c>
      <c r="H373" s="718">
        <f t="shared" si="91"/>
        <v>98560.51</v>
      </c>
      <c r="I373" s="719"/>
      <c r="J373" s="743">
        <f t="shared" si="92"/>
        <v>42305.79</v>
      </c>
      <c r="K373" s="728">
        <f t="shared" si="93"/>
        <v>57549.42</v>
      </c>
      <c r="L373" s="718">
        <f t="shared" si="94"/>
        <v>99855.209999999992</v>
      </c>
      <c r="M373" s="719"/>
      <c r="N373" s="718">
        <f t="shared" si="95"/>
        <v>1294.6999999999971</v>
      </c>
      <c r="O373" s="720">
        <f t="shared" si="96"/>
        <v>1.3136092741403196E-2</v>
      </c>
    </row>
    <row r="374" spans="2:15" x14ac:dyDescent="0.2">
      <c r="B374" s="691">
        <f>IF(D374&lt;&gt;"",COUNTA($D$350:D374),"")</f>
        <v>22</v>
      </c>
      <c r="C374" s="691"/>
      <c r="D374" s="717">
        <v>2500</v>
      </c>
      <c r="E374" s="717">
        <v>1337500</v>
      </c>
      <c r="F374" s="743">
        <f t="shared" si="89"/>
        <v>92023.38</v>
      </c>
      <c r="G374" s="743">
        <f t="shared" si="90"/>
        <v>130794.13</v>
      </c>
      <c r="H374" s="718">
        <f t="shared" si="91"/>
        <v>222817.51</v>
      </c>
      <c r="I374" s="719"/>
      <c r="J374" s="743">
        <f t="shared" si="92"/>
        <v>94965.88</v>
      </c>
      <c r="K374" s="728">
        <f t="shared" si="93"/>
        <v>130794.13</v>
      </c>
      <c r="L374" s="718">
        <f t="shared" si="94"/>
        <v>225760.01</v>
      </c>
      <c r="M374" s="719"/>
      <c r="N374" s="718">
        <f t="shared" si="95"/>
        <v>2942.5</v>
      </c>
      <c r="O374" s="720">
        <f t="shared" si="96"/>
        <v>1.3205874170301965E-2</v>
      </c>
    </row>
    <row r="375" spans="2:15" x14ac:dyDescent="0.2">
      <c r="B375" s="691">
        <f>IF(D375&lt;&gt;"",COUNTA($D$350:D375),"")</f>
        <v>23</v>
      </c>
      <c r="C375" s="691" t="s">
        <v>627</v>
      </c>
      <c r="D375" s="717">
        <v>930</v>
      </c>
      <c r="E375" s="717">
        <v>497550</v>
      </c>
      <c r="F375" s="743">
        <f t="shared" si="89"/>
        <v>34816.74</v>
      </c>
      <c r="G375" s="743">
        <f t="shared" si="90"/>
        <v>48655.41</v>
      </c>
      <c r="H375" s="718">
        <f t="shared" si="91"/>
        <v>83472.149999999994</v>
      </c>
      <c r="I375" s="719"/>
      <c r="J375" s="743">
        <f t="shared" si="92"/>
        <v>35911.35</v>
      </c>
      <c r="K375" s="728">
        <f t="shared" si="93"/>
        <v>48655.41</v>
      </c>
      <c r="L375" s="718">
        <f t="shared" si="94"/>
        <v>84566.760000000009</v>
      </c>
      <c r="M375" s="719"/>
      <c r="N375" s="718">
        <f t="shared" si="95"/>
        <v>1094.6100000000151</v>
      </c>
      <c r="O375" s="720">
        <f t="shared" si="96"/>
        <v>1.3113475572391693E-2</v>
      </c>
    </row>
    <row r="376" spans="2:15" ht="15.75" x14ac:dyDescent="0.25">
      <c r="B376" s="691" t="str">
        <f>IF(D376&lt;&gt;"",COUNTA($D$350:D376),"")</f>
        <v/>
      </c>
      <c r="C376" s="691"/>
      <c r="D376" s="735"/>
      <c r="E376" s="735"/>
      <c r="F376" s="732"/>
      <c r="G376" s="732"/>
      <c r="H376" s="732"/>
      <c r="I376" s="733"/>
      <c r="J376" s="732"/>
      <c r="K376" s="732"/>
      <c r="L376" s="732"/>
      <c r="M376" s="733"/>
      <c r="N376" s="732"/>
      <c r="O376" s="736"/>
    </row>
    <row r="377" spans="2:15" ht="15.75" x14ac:dyDescent="0.25">
      <c r="B377" s="691" t="str">
        <f>IF(D377&lt;&gt;"",COUNTA($D$350:D377),"")</f>
        <v/>
      </c>
      <c r="C377" s="691"/>
      <c r="D377" s="735"/>
      <c r="E377" s="735"/>
      <c r="F377" s="732"/>
      <c r="G377" s="732"/>
      <c r="H377" s="739"/>
      <c r="I377" s="784"/>
      <c r="J377" s="732"/>
      <c r="K377" s="732"/>
      <c r="L377" s="732"/>
      <c r="M377" s="740"/>
      <c r="N377" s="739"/>
      <c r="O377" s="736"/>
    </row>
    <row r="378" spans="2:15" ht="15.75" x14ac:dyDescent="0.25">
      <c r="B378" s="691">
        <f>IF(D378&lt;&gt;"",COUNTA($D$350:D378),"")</f>
        <v>24</v>
      </c>
      <c r="C378" s="691"/>
      <c r="D378" s="701" t="s">
        <v>27</v>
      </c>
      <c r="E378" s="701"/>
      <c r="F378" s="701"/>
      <c r="G378"/>
      <c r="H378" s="746" t="str">
        <f>$G$28</f>
        <v>2024 Without CVEO</v>
      </c>
      <c r="J378" s="746" t="str">
        <f>$H$28</f>
        <v>2024 With CVEO</v>
      </c>
      <c r="K378" s="719"/>
      <c r="L378" s="701"/>
      <c r="M378"/>
      <c r="N378"/>
      <c r="O378"/>
    </row>
    <row r="379" spans="2:15" ht="17.25" x14ac:dyDescent="0.35">
      <c r="B379" s="691">
        <f>IF(D379&lt;&gt;"",COUNTA($D$350:D379),"")</f>
        <v>25</v>
      </c>
      <c r="C379" s="691"/>
      <c r="D379" s="721" t="s">
        <v>27</v>
      </c>
      <c r="E379" s="721"/>
      <c r="F379" s="701"/>
      <c r="G379"/>
      <c r="H379" s="747" t="s">
        <v>162</v>
      </c>
      <c r="I379" s="747"/>
      <c r="J379" s="747" t="s">
        <v>162</v>
      </c>
      <c r="K379" s="722" t="s">
        <v>626</v>
      </c>
      <c r="L379" s="701"/>
      <c r="M379"/>
      <c r="N379"/>
      <c r="O379"/>
    </row>
    <row r="380" spans="2:15" ht="15.75" x14ac:dyDescent="0.25">
      <c r="B380" s="691">
        <f>IF(D380&lt;&gt;"",COUNTA($D$350:D380),"")</f>
        <v>26</v>
      </c>
      <c r="C380" s="691"/>
      <c r="D380" s="701" t="str">
        <f t="shared" ref="D380:D405" si="97">D315</f>
        <v>Customer Charge</v>
      </c>
      <c r="E380" s="701"/>
      <c r="F380" s="721"/>
      <c r="G380"/>
      <c r="H380" s="705">
        <v>930</v>
      </c>
      <c r="I380" s="705"/>
      <c r="J380" s="705">
        <v>930</v>
      </c>
      <c r="K380" s="705">
        <f t="shared" ref="K380:K405" si="98">+J380-H380</f>
        <v>0</v>
      </c>
      <c r="L380" s="701"/>
      <c r="M380"/>
      <c r="N380"/>
      <c r="O380"/>
    </row>
    <row r="381" spans="2:15" ht="15.75" x14ac:dyDescent="0.25">
      <c r="B381" s="691">
        <f>IF(D381&lt;&gt;"",COUNTA($D$350:D381),"")</f>
        <v>27</v>
      </c>
      <c r="C381" s="691"/>
      <c r="D381" s="701" t="str">
        <f t="shared" si="97"/>
        <v>Distribution Demand</v>
      </c>
      <c r="E381" s="701"/>
      <c r="F381" s="721"/>
      <c r="G381"/>
      <c r="H381" s="705">
        <v>3.66</v>
      </c>
      <c r="I381" s="749"/>
      <c r="J381" s="705">
        <v>3.66</v>
      </c>
      <c r="K381" s="705">
        <f t="shared" si="98"/>
        <v>0</v>
      </c>
      <c r="L381" s="701"/>
      <c r="M381"/>
      <c r="N381"/>
      <c r="O381"/>
    </row>
    <row r="382" spans="2:15" ht="15.75" x14ac:dyDescent="0.25">
      <c r="B382" s="691">
        <f>IF(D382&lt;&gt;"",COUNTA($D$350:D382),"")</f>
        <v>28</v>
      </c>
      <c r="C382" s="691"/>
      <c r="D382" s="701" t="str">
        <f t="shared" si="97"/>
        <v>Distribution Energy</v>
      </c>
      <c r="E382" s="701"/>
      <c r="F382" s="721"/>
      <c r="G382"/>
      <c r="H382" s="709">
        <v>9.4400000000000005E-3</v>
      </c>
      <c r="I382" s="709"/>
      <c r="J382" s="709">
        <v>9.4400000000000005E-3</v>
      </c>
      <c r="K382" s="709">
        <f t="shared" si="98"/>
        <v>0</v>
      </c>
      <c r="L382" s="701"/>
      <c r="M382"/>
      <c r="N382"/>
      <c r="O382"/>
    </row>
    <row r="383" spans="2:15" ht="15.75" x14ac:dyDescent="0.25">
      <c r="B383" s="691">
        <f>IF(D383&lt;&gt;"",COUNTA($D$350:D383),"")</f>
        <v>29</v>
      </c>
      <c r="C383" s="691"/>
      <c r="D383" s="701" t="str">
        <f t="shared" si="97"/>
        <v>Exogenous Cost Adjustment</v>
      </c>
      <c r="E383" s="701"/>
      <c r="F383" s="721"/>
      <c r="G383"/>
      <c r="H383" s="709">
        <v>3.3E-4</v>
      </c>
      <c r="I383" s="709"/>
      <c r="J383" s="709">
        <v>3.3E-4</v>
      </c>
      <c r="K383" s="709">
        <f t="shared" si="98"/>
        <v>0</v>
      </c>
      <c r="L383" s="701"/>
      <c r="M383"/>
      <c r="N383"/>
      <c r="O383"/>
    </row>
    <row r="384" spans="2:15" ht="15.75" x14ac:dyDescent="0.25">
      <c r="B384" s="691">
        <f>IF(D384&lt;&gt;"",COUNTA($D$350:D384),"")</f>
        <v>30</v>
      </c>
      <c r="C384" s="691"/>
      <c r="D384" s="701" t="str">
        <f t="shared" si="97"/>
        <v>Revenue Decoupling</v>
      </c>
      <c r="E384" s="701"/>
      <c r="F384" s="721"/>
      <c r="G384"/>
      <c r="H384" s="709">
        <v>2.0000000000000002E-5</v>
      </c>
      <c r="I384" s="709"/>
      <c r="J384" s="709">
        <v>2.0000000000000002E-5</v>
      </c>
      <c r="K384" s="709">
        <f t="shared" si="98"/>
        <v>0</v>
      </c>
      <c r="L384" s="701"/>
      <c r="M384"/>
      <c r="N384"/>
      <c r="O384"/>
    </row>
    <row r="385" spans="2:15" ht="15.75" x14ac:dyDescent="0.25">
      <c r="B385" s="691">
        <f>IF(D385&lt;&gt;"",COUNTA($D$350:D385),"")</f>
        <v>31</v>
      </c>
      <c r="C385" s="691"/>
      <c r="D385" s="701" t="str">
        <f t="shared" si="97"/>
        <v>Solar Massachusetts Renewable Target</v>
      </c>
      <c r="E385" s="701"/>
      <c r="F385" s="721"/>
      <c r="G385"/>
      <c r="H385" s="709">
        <v>2.66E-3</v>
      </c>
      <c r="I385" s="709"/>
      <c r="J385" s="709">
        <v>2.66E-3</v>
      </c>
      <c r="K385" s="709">
        <f t="shared" si="98"/>
        <v>0</v>
      </c>
      <c r="L385" s="701"/>
      <c r="M385"/>
      <c r="N385" t="s">
        <v>27</v>
      </c>
      <c r="O385"/>
    </row>
    <row r="386" spans="2:15" ht="15.75" x14ac:dyDescent="0.25">
      <c r="B386" s="691">
        <f>IF(D386&lt;&gt;"",COUNTA($D$350:D386),"")</f>
        <v>32</v>
      </c>
      <c r="C386" s="691"/>
      <c r="D386" s="701" t="str">
        <f t="shared" si="97"/>
        <v>Residential Assistance Adjustment Factor</v>
      </c>
      <c r="E386" s="701"/>
      <c r="F386" s="721"/>
      <c r="G386"/>
      <c r="H386" s="709">
        <v>2.7200000000000002E-3</v>
      </c>
      <c r="I386" s="709"/>
      <c r="J386" s="709">
        <v>2.7200000000000002E-3</v>
      </c>
      <c r="K386" s="709">
        <f t="shared" si="98"/>
        <v>0</v>
      </c>
      <c r="L386" s="701"/>
      <c r="M386"/>
      <c r="N386"/>
      <c r="O386"/>
    </row>
    <row r="387" spans="2:15" ht="15.75" x14ac:dyDescent="0.25">
      <c r="B387" s="691">
        <f>IF(D387&lt;&gt;"",COUNTA($D$350:D387),"")</f>
        <v>33</v>
      </c>
      <c r="C387" s="691"/>
      <c r="D387" s="701" t="str">
        <f t="shared" si="97"/>
        <v>Pension Adjustment Factor</v>
      </c>
      <c r="E387" s="701"/>
      <c r="F387" s="721"/>
      <c r="G387"/>
      <c r="H387" s="709">
        <v>2.7E-4</v>
      </c>
      <c r="I387" s="709"/>
      <c r="J387" s="709">
        <v>2.7E-4</v>
      </c>
      <c r="K387" s="709">
        <f t="shared" si="98"/>
        <v>0</v>
      </c>
      <c r="L387" s="701"/>
      <c r="M387"/>
      <c r="N387"/>
      <c r="O387"/>
    </row>
    <row r="388" spans="2:15" ht="15.75" x14ac:dyDescent="0.25">
      <c r="B388" s="691">
        <f>IF(D388&lt;&gt;"",COUNTA($D$350:D388),"")</f>
        <v>34</v>
      </c>
      <c r="C388" s="691"/>
      <c r="D388" s="701" t="str">
        <f t="shared" si="97"/>
        <v>Net Metering Recovery Surcharge</v>
      </c>
      <c r="E388" s="701"/>
      <c r="F388" s="721"/>
      <c r="G388"/>
      <c r="H388" s="709">
        <v>5.4000000000000003E-3</v>
      </c>
      <c r="I388" s="709"/>
      <c r="J388" s="709">
        <v>5.4000000000000003E-3</v>
      </c>
      <c r="K388" s="709">
        <f t="shared" si="98"/>
        <v>0</v>
      </c>
      <c r="L388" s="701"/>
      <c r="M388"/>
      <c r="N388"/>
      <c r="O388"/>
    </row>
    <row r="389" spans="2:15" ht="15.75" x14ac:dyDescent="0.25">
      <c r="B389" s="691">
        <f>IF(D389&lt;&gt;"",COUNTA($D$350:D389),"")</f>
        <v>35</v>
      </c>
      <c r="C389" s="691"/>
      <c r="D389" s="701" t="str">
        <f t="shared" si="97"/>
        <v>Long Term Renewable Contract Adjustment</v>
      </c>
      <c r="E389" s="701"/>
      <c r="F389" s="721"/>
      <c r="G389"/>
      <c r="H389" s="709">
        <v>-1.9300000000000001E-3</v>
      </c>
      <c r="I389" s="709"/>
      <c r="J389" s="709">
        <v>-1.9300000000000001E-3</v>
      </c>
      <c r="K389" s="709">
        <f t="shared" si="98"/>
        <v>0</v>
      </c>
      <c r="L389" s="701"/>
      <c r="M389"/>
      <c r="N389"/>
      <c r="O389"/>
    </row>
    <row r="390" spans="2:15" ht="15.75" x14ac:dyDescent="0.25">
      <c r="B390" s="691">
        <f>IF(D390&lt;&gt;"",COUNTA($D$350:D390),"")</f>
        <v>36</v>
      </c>
      <c r="C390" s="691"/>
      <c r="D390" s="701" t="str">
        <f t="shared" si="97"/>
        <v>AG Consulting Expense</v>
      </c>
      <c r="E390" s="701"/>
      <c r="F390" s="721"/>
      <c r="G390"/>
      <c r="H390" s="709">
        <v>1.0000000000000001E-5</v>
      </c>
      <c r="I390" s="709"/>
      <c r="J390" s="709">
        <v>1.0000000000000001E-5</v>
      </c>
      <c r="K390" s="709">
        <f t="shared" si="98"/>
        <v>0</v>
      </c>
      <c r="L390" s="701"/>
      <c r="M390"/>
      <c r="N390"/>
      <c r="O390"/>
    </row>
    <row r="391" spans="2:15" ht="15.75" x14ac:dyDescent="0.25">
      <c r="B391" s="691">
        <f>IF(D391&lt;&gt;"",COUNTA($D$350:D391),"")</f>
        <v>37</v>
      </c>
      <c r="C391" s="691"/>
      <c r="D391" s="701" t="str">
        <f t="shared" si="97"/>
        <v>Storm Cost Recovery Adjustment Factor</v>
      </c>
      <c r="E391" s="701"/>
      <c r="F391" s="721"/>
      <c r="G391"/>
      <c r="H391" s="709">
        <v>2.2100000000000002E-3</v>
      </c>
      <c r="I391" s="709"/>
      <c r="J391" s="709">
        <v>2.2100000000000002E-3</v>
      </c>
      <c r="K391" s="709">
        <f t="shared" si="98"/>
        <v>0</v>
      </c>
      <c r="L391" s="701"/>
      <c r="M391"/>
      <c r="N391"/>
      <c r="O391"/>
    </row>
    <row r="392" spans="2:15" ht="15.75" x14ac:dyDescent="0.25">
      <c r="B392" s="691">
        <f>IF(D392&lt;&gt;"",COUNTA($D$350:D392),"")</f>
        <v>38</v>
      </c>
      <c r="C392" s="691"/>
      <c r="D392" s="701" t="str">
        <f t="shared" si="97"/>
        <v>Storm Reserve Adjustment</v>
      </c>
      <c r="E392" s="701"/>
      <c r="F392" s="721"/>
      <c r="G392"/>
      <c r="H392" s="709">
        <v>0</v>
      </c>
      <c r="I392" s="709"/>
      <c r="J392" s="709">
        <v>0</v>
      </c>
      <c r="K392" s="709">
        <f t="shared" si="98"/>
        <v>0</v>
      </c>
      <c r="L392" s="701"/>
      <c r="M392"/>
      <c r="N392"/>
      <c r="O392"/>
    </row>
    <row r="393" spans="2:15" ht="15.75" x14ac:dyDescent="0.25">
      <c r="B393" s="691">
        <f>IF(D393&lt;&gt;"",COUNTA($D$350:D393),"")</f>
        <v>39</v>
      </c>
      <c r="C393" s="691"/>
      <c r="D393" s="701" t="str">
        <f t="shared" si="97"/>
        <v>Basic Service Cost True Up Factor</v>
      </c>
      <c r="E393" s="701"/>
      <c r="F393" s="721"/>
      <c r="G393"/>
      <c r="H393" s="709">
        <v>-1.4999999999999999E-4</v>
      </c>
      <c r="I393" s="709"/>
      <c r="J393" s="709">
        <v>-1.4999999999999999E-4</v>
      </c>
      <c r="K393" s="709">
        <f t="shared" si="98"/>
        <v>0</v>
      </c>
      <c r="L393" s="701"/>
      <c r="M393"/>
      <c r="N393"/>
      <c r="O393"/>
    </row>
    <row r="394" spans="2:15" ht="15.75" x14ac:dyDescent="0.25">
      <c r="B394" s="691">
        <f>IF(D394&lt;&gt;"",COUNTA($D$350:D394),"")</f>
        <v>40</v>
      </c>
      <c r="C394" s="691"/>
      <c r="D394" s="701" t="str">
        <f t="shared" si="97"/>
        <v>Solar Program Cost Adjustment Factor</v>
      </c>
      <c r="E394" s="701"/>
      <c r="F394" s="721"/>
      <c r="G394"/>
      <c r="H394" s="709">
        <v>0</v>
      </c>
      <c r="I394" s="709"/>
      <c r="J394" s="709">
        <v>0</v>
      </c>
      <c r="K394" s="709">
        <f t="shared" si="98"/>
        <v>0</v>
      </c>
      <c r="L394" s="701"/>
      <c r="M394"/>
      <c r="N394"/>
      <c r="O394"/>
    </row>
    <row r="395" spans="2:15" ht="15.75" x14ac:dyDescent="0.25">
      <c r="B395" s="691">
        <f>IF(D395&lt;&gt;"",COUNTA($D$350:D395),"")</f>
        <v>41</v>
      </c>
      <c r="C395" s="691"/>
      <c r="D395" s="701" t="str">
        <f t="shared" si="97"/>
        <v>Solar Expansion Cost Recovery Factor</v>
      </c>
      <c r="E395"/>
      <c r="F395"/>
      <c r="G395"/>
      <c r="H395" s="709">
        <v>-1.7000000000000001E-4</v>
      </c>
      <c r="I395" s="709"/>
      <c r="J395" s="709">
        <v>-1.7000000000000001E-4</v>
      </c>
      <c r="K395" s="709">
        <f t="shared" si="98"/>
        <v>0</v>
      </c>
      <c r="L395" s="701"/>
      <c r="M395"/>
      <c r="N395"/>
      <c r="O395"/>
    </row>
    <row r="396" spans="2:15" ht="15.75" x14ac:dyDescent="0.25">
      <c r="B396" s="691">
        <f>IF(D396&lt;&gt;"",COUNTA($D$350:D396),"")</f>
        <v>42</v>
      </c>
      <c r="C396" s="691"/>
      <c r="D396" s="701" t="str">
        <f t="shared" si="97"/>
        <v>Vegetation Management</v>
      </c>
      <c r="E396" s="701"/>
      <c r="F396" s="721"/>
      <c r="G396"/>
      <c r="H396" s="709">
        <v>5.9999999999999995E-4</v>
      </c>
      <c r="I396" s="709"/>
      <c r="J396" s="709">
        <v>5.9999999999999995E-4</v>
      </c>
      <c r="K396" s="709">
        <f t="shared" si="98"/>
        <v>0</v>
      </c>
      <c r="L396" s="701"/>
      <c r="M396"/>
      <c r="N396"/>
      <c r="O396"/>
    </row>
    <row r="397" spans="2:15" ht="15.75" x14ac:dyDescent="0.25">
      <c r="B397" s="691">
        <f>IF(D397&lt;&gt;"",COUNTA($D$350:D397),"")</f>
        <v>43</v>
      </c>
      <c r="C397" s="691"/>
      <c r="D397" s="701" t="str">
        <f t="shared" si="97"/>
        <v>Tax Act Credit Factor</v>
      </c>
      <c r="E397" s="701"/>
      <c r="F397" s="721"/>
      <c r="G397"/>
      <c r="H397" s="709">
        <v>-5.9999999999999995E-4</v>
      </c>
      <c r="I397" s="709"/>
      <c r="J397" s="709">
        <v>-5.9999999999999995E-4</v>
      </c>
      <c r="K397" s="709">
        <f t="shared" si="98"/>
        <v>0</v>
      </c>
      <c r="L397" s="701"/>
      <c r="M397"/>
      <c r="N397"/>
      <c r="O397"/>
    </row>
    <row r="398" spans="2:15" ht="15.75" x14ac:dyDescent="0.25">
      <c r="B398" s="691">
        <f>IF(D398&lt;&gt;"",COUNTA($D$350:D398),"")</f>
        <v>44</v>
      </c>
      <c r="C398" s="691"/>
      <c r="D398" s="701" t="str">
        <f t="shared" si="97"/>
        <v>Grid Modernization</v>
      </c>
      <c r="E398" s="701"/>
      <c r="F398" s="721"/>
      <c r="G398"/>
      <c r="H398" s="709">
        <v>6.6E-4</v>
      </c>
      <c r="I398" s="709"/>
      <c r="J398" s="709">
        <v>6.6E-4</v>
      </c>
      <c r="K398" s="709">
        <f t="shared" si="98"/>
        <v>0</v>
      </c>
      <c r="L398" s="701"/>
      <c r="M398"/>
      <c r="N398"/>
      <c r="O398"/>
    </row>
    <row r="399" spans="2:15" ht="15.75" x14ac:dyDescent="0.25">
      <c r="B399" s="691">
        <f>IF(D399&lt;&gt;"",COUNTA($D$350:D399),"")</f>
        <v>45</v>
      </c>
      <c r="C399" s="691"/>
      <c r="D399" s="701" t="str">
        <f t="shared" si="97"/>
        <v>Advanced Metering Infrastructure</v>
      </c>
      <c r="E399" s="701"/>
      <c r="F399" s="721"/>
      <c r="G399"/>
      <c r="H399" s="709">
        <v>1.0200000000000001E-3</v>
      </c>
      <c r="I399" s="709"/>
      <c r="J399" s="709">
        <v>1.0200000000000001E-3</v>
      </c>
      <c r="K399" s="709">
        <f t="shared" si="98"/>
        <v>0</v>
      </c>
      <c r="L399" s="701"/>
      <c r="M399"/>
      <c r="N399"/>
      <c r="O399"/>
    </row>
    <row r="400" spans="2:15" ht="15.75" x14ac:dyDescent="0.25">
      <c r="B400" s="691">
        <f>IF(D400&lt;&gt;"",COUNTA($D$350:D400),"")</f>
        <v>46</v>
      </c>
      <c r="C400" s="691"/>
      <c r="D400" s="701" t="str">
        <f t="shared" si="97"/>
        <v>Transition</v>
      </c>
      <c r="E400" s="701"/>
      <c r="F400" s="721"/>
      <c r="G400"/>
      <c r="H400" s="709">
        <v>-3.6999999999999999E-4</v>
      </c>
      <c r="I400" s="709"/>
      <c r="J400" s="709">
        <v>-3.6999999999999999E-4</v>
      </c>
      <c r="K400" s="709">
        <f t="shared" si="98"/>
        <v>0</v>
      </c>
      <c r="L400" s="701"/>
      <c r="M400"/>
      <c r="N400"/>
      <c r="O400"/>
    </row>
    <row r="401" spans="2:15" ht="15.75" x14ac:dyDescent="0.25">
      <c r="B401" s="691">
        <f>IF(D401&lt;&gt;"",COUNTA($D$350:D401),"")</f>
        <v>47</v>
      </c>
      <c r="C401" s="691"/>
      <c r="D401" s="701" t="str">
        <f t="shared" si="97"/>
        <v>Transmission Demand</v>
      </c>
      <c r="E401" s="701"/>
      <c r="F401" s="721"/>
      <c r="G401"/>
      <c r="H401" s="709">
        <v>12.87</v>
      </c>
      <c r="I401" s="709"/>
      <c r="J401" s="709">
        <v>12.87</v>
      </c>
      <c r="K401" s="709">
        <f t="shared" si="98"/>
        <v>0</v>
      </c>
      <c r="L401" s="701"/>
      <c r="M401"/>
      <c r="N401"/>
      <c r="O401"/>
    </row>
    <row r="402" spans="2:15" ht="15.75" x14ac:dyDescent="0.25">
      <c r="B402" s="691">
        <f>IF(D402&lt;&gt;"",COUNTA($D$350:D402),"")</f>
        <v>48</v>
      </c>
      <c r="C402" s="691"/>
      <c r="D402" s="701" t="str">
        <f t="shared" si="97"/>
        <v>Energy Efficiency Reconciliation Factor</v>
      </c>
      <c r="E402" s="701"/>
      <c r="F402" s="721"/>
      <c r="G402"/>
      <c r="H402" s="709">
        <f>EES!$G$22</f>
        <v>1.209E-2</v>
      </c>
      <c r="I402" s="709"/>
      <c r="J402" s="709">
        <f>EES!$K$22</f>
        <v>1.4290000000000001E-2</v>
      </c>
      <c r="K402" s="709">
        <f t="shared" si="98"/>
        <v>2.2000000000000006E-3</v>
      </c>
      <c r="L402" s="701"/>
      <c r="M402"/>
      <c r="N402"/>
      <c r="O402"/>
    </row>
    <row r="403" spans="2:15" ht="15.75" x14ac:dyDescent="0.25">
      <c r="B403" s="691">
        <f>IF(D403&lt;&gt;"",COUNTA($D$350:D403),"")</f>
        <v>49</v>
      </c>
      <c r="C403" s="691"/>
      <c r="D403" s="701" t="str">
        <f t="shared" si="97"/>
        <v>System Benefits Charge</v>
      </c>
      <c r="E403" s="701"/>
      <c r="F403" s="721"/>
      <c r="G403"/>
      <c r="H403" s="709">
        <v>2.5000000000000001E-3</v>
      </c>
      <c r="I403" s="709"/>
      <c r="J403" s="709">
        <v>2.5000000000000001E-3</v>
      </c>
      <c r="K403" s="709">
        <f t="shared" si="98"/>
        <v>0</v>
      </c>
      <c r="L403" s="701"/>
      <c r="M403"/>
      <c r="N403"/>
      <c r="O403"/>
    </row>
    <row r="404" spans="2:15" ht="15.75" x14ac:dyDescent="0.25">
      <c r="B404" s="691">
        <f>IF(D404&lt;&gt;"",COUNTA($D$350:D404),"")</f>
        <v>50</v>
      </c>
      <c r="C404" s="691"/>
      <c r="D404" s="701" t="str">
        <f t="shared" si="97"/>
        <v>Renewable Energy Charge</v>
      </c>
      <c r="E404" s="701"/>
      <c r="F404" s="721"/>
      <c r="G404"/>
      <c r="H404" s="709">
        <v>5.0000000000000001E-4</v>
      </c>
      <c r="I404" s="709"/>
      <c r="J404" s="709">
        <v>5.0000000000000001E-4</v>
      </c>
      <c r="K404" s="709">
        <f t="shared" si="98"/>
        <v>0</v>
      </c>
      <c r="L404" s="701"/>
      <c r="M404"/>
      <c r="N404"/>
      <c r="O404"/>
    </row>
    <row r="405" spans="2:15" ht="15.75" x14ac:dyDescent="0.25">
      <c r="B405" s="691">
        <f>IF(D405&lt;&gt;"",COUNTA($D$350:D405),"")</f>
        <v>51</v>
      </c>
      <c r="C405" s="691"/>
      <c r="D405" s="701" t="str">
        <f t="shared" si="97"/>
        <v>Supply Charge</v>
      </c>
      <c r="E405" s="701"/>
      <c r="F405" s="721"/>
      <c r="G405"/>
      <c r="H405" s="709">
        <v>9.7790000000000002E-2</v>
      </c>
      <c r="I405" s="709"/>
      <c r="J405" s="709">
        <v>9.7790000000000002E-2</v>
      </c>
      <c r="K405" s="709">
        <f t="shared" si="98"/>
        <v>0</v>
      </c>
      <c r="L405" s="701"/>
      <c r="M405"/>
      <c r="N405"/>
      <c r="O405"/>
    </row>
    <row r="406" spans="2:15" ht="15.75" x14ac:dyDescent="0.25">
      <c r="B406" s="691" t="str">
        <f>IF(D406&lt;&gt;"",COUNTA($D$350:D406),"")</f>
        <v/>
      </c>
      <c r="C406" s="691"/>
      <c r="D406"/>
      <c r="E406"/>
      <c r="F406"/>
      <c r="G406"/>
      <c r="H406" s="719"/>
      <c r="I406" s="719"/>
      <c r="J406" s="719"/>
      <c r="K406" s="741"/>
      <c r="L406" s="701"/>
      <c r="M406"/>
      <c r="N406"/>
      <c r="O406"/>
    </row>
    <row r="407" spans="2:15" ht="15.75" x14ac:dyDescent="0.25">
      <c r="B407" s="691"/>
      <c r="C407" s="691"/>
      <c r="D407" s="742"/>
      <c r="E407"/>
      <c r="F407" s="785"/>
      <c r="G407" s="719"/>
      <c r="H407" s="786"/>
      <c r="I407" s="719"/>
      <c r="J407" s="701"/>
      <c r="K407"/>
      <c r="L407"/>
      <c r="M407"/>
    </row>
    <row r="408" spans="2:15" ht="15.75" x14ac:dyDescent="0.25">
      <c r="B408" s="1070" t="str">
        <f>$B$3</f>
        <v>Cape Light Compact JPE</v>
      </c>
      <c r="C408" s="1070"/>
      <c r="D408" s="1070"/>
      <c r="E408" s="1070"/>
      <c r="F408" s="1070"/>
      <c r="G408" s="1070"/>
      <c r="H408" s="1070"/>
      <c r="I408" s="1070"/>
      <c r="J408" s="1070"/>
      <c r="K408" s="1070"/>
      <c r="L408" s="1070"/>
      <c r="M408" s="1070"/>
      <c r="N408" s="1070"/>
      <c r="O408" s="1070"/>
    </row>
    <row r="409" spans="2:15" ht="15.75" x14ac:dyDescent="0.25">
      <c r="B409" s="1070" t="str">
        <f>$B$4</f>
        <v>Calculation of Monthly Typical Bill</v>
      </c>
      <c r="C409" s="1070"/>
      <c r="D409" s="1070"/>
      <c r="E409" s="1070"/>
      <c r="F409" s="1070"/>
      <c r="G409" s="1070"/>
      <c r="H409" s="1070"/>
      <c r="I409" s="1070"/>
      <c r="J409" s="1070"/>
      <c r="K409" s="1070"/>
      <c r="L409" s="1070"/>
      <c r="M409" s="1070"/>
      <c r="N409" s="1070"/>
      <c r="O409" s="1070"/>
    </row>
    <row r="410" spans="2:15" ht="15.75" x14ac:dyDescent="0.25">
      <c r="B410" s="1070" t="str">
        <f>$B$5</f>
        <v>Illustrative 2024 EES Rates</v>
      </c>
      <c r="C410" s="1070"/>
      <c r="D410" s="1070"/>
      <c r="E410" s="1070"/>
      <c r="F410" s="1070"/>
      <c r="G410" s="1070"/>
      <c r="H410" s="1070"/>
      <c r="I410" s="1070"/>
      <c r="J410" s="1070"/>
      <c r="K410" s="1070"/>
      <c r="L410" s="1070"/>
      <c r="M410" s="1070"/>
      <c r="N410" s="1070"/>
      <c r="O410" s="1070"/>
    </row>
    <row r="411" spans="2:15" ht="15.75" x14ac:dyDescent="0.25">
      <c r="B411" s="723"/>
      <c r="C411" s="723"/>
      <c r="D411" s="701"/>
      <c r="E411" s="701"/>
      <c r="F411" s="715"/>
      <c r="G411" s="777"/>
      <c r="H411" s="778"/>
      <c r="I411" s="701"/>
      <c r="J411" s="701"/>
      <c r="K411" s="701"/>
      <c r="L411" s="701"/>
      <c r="M411" s="701"/>
      <c r="N411" s="701"/>
      <c r="O411" s="701"/>
    </row>
    <row r="412" spans="2:15" ht="15.75" x14ac:dyDescent="0.25">
      <c r="B412" s="1071" t="s">
        <v>609</v>
      </c>
      <c r="C412" s="1071"/>
      <c r="D412" s="1071"/>
      <c r="E412" s="1071"/>
      <c r="F412" s="1071"/>
      <c r="G412" s="1071"/>
      <c r="H412" s="1071"/>
      <c r="I412" s="1071"/>
      <c r="J412" s="1071"/>
      <c r="K412" s="1071"/>
      <c r="L412" s="1071"/>
      <c r="M412" s="1071"/>
      <c r="N412" s="1071"/>
      <c r="O412" s="1071"/>
    </row>
    <row r="413" spans="2:15" ht="15.75" x14ac:dyDescent="0.25">
      <c r="B413" s="716"/>
      <c r="C413" s="716"/>
      <c r="D413" s="724"/>
      <c r="E413" s="701"/>
      <c r="F413" s="701"/>
      <c r="G413" s="701"/>
      <c r="H413" s="783"/>
      <c r="I413" s="701"/>
      <c r="J413"/>
      <c r="K413"/>
      <c r="L413"/>
      <c r="M413"/>
      <c r="N413"/>
      <c r="O413"/>
    </row>
    <row r="414" spans="2:15" ht="15.75" x14ac:dyDescent="0.25">
      <c r="B414" s="716"/>
      <c r="C414" s="716"/>
      <c r="D414" s="701"/>
      <c r="E414" s="701"/>
      <c r="F414" s="701"/>
      <c r="G414" s="701"/>
      <c r="H414" s="779"/>
      <c r="I414" s="701"/>
      <c r="J414"/>
      <c r="K414"/>
      <c r="L414"/>
      <c r="M414"/>
      <c r="N414"/>
      <c r="O414"/>
    </row>
    <row r="415" spans="2:15" ht="15.75" x14ac:dyDescent="0.25">
      <c r="B415" s="691">
        <f>IF(D415&lt;&gt;"",COUNTA($D$415:D415),"")</f>
        <v>1</v>
      </c>
      <c r="C415" s="691"/>
      <c r="D415" s="716" t="s">
        <v>12</v>
      </c>
      <c r="E415" s="716" t="s">
        <v>12</v>
      </c>
      <c r="F415" s="1067" t="str">
        <f>$F$10</f>
        <v>2024 Without CVEO</v>
      </c>
      <c r="G415" s="1067"/>
      <c r="H415" s="1067"/>
      <c r="I415" s="690"/>
      <c r="J415" s="1067" t="str">
        <f>$J$10</f>
        <v>2024 With CVEO</v>
      </c>
      <c r="K415" s="1068"/>
      <c r="L415" s="1068"/>
      <c r="M415"/>
      <c r="N415" s="1068" t="str">
        <f>$N$10</f>
        <v>Total Bill Impact</v>
      </c>
      <c r="O415" s="1068"/>
    </row>
    <row r="416" spans="2:15" ht="15.75" x14ac:dyDescent="0.25">
      <c r="B416" s="691">
        <f>IF(D416&lt;&gt;"",COUNTA($D$415:D416),"")</f>
        <v>2</v>
      </c>
      <c r="C416" s="691"/>
      <c r="D416" s="725" t="s">
        <v>653</v>
      </c>
      <c r="E416" s="725" t="s">
        <v>158</v>
      </c>
      <c r="F416" s="725" t="s">
        <v>624</v>
      </c>
      <c r="G416" s="725" t="s">
        <v>625</v>
      </c>
      <c r="H416" s="725" t="s">
        <v>176</v>
      </c>
      <c r="I416" s="701"/>
      <c r="J416" s="725" t="s">
        <v>624</v>
      </c>
      <c r="K416" s="725" t="s">
        <v>625</v>
      </c>
      <c r="L416" s="725" t="s">
        <v>176</v>
      </c>
      <c r="M416"/>
      <c r="N416" s="725" t="s">
        <v>626</v>
      </c>
      <c r="O416" s="725" t="s">
        <v>120</v>
      </c>
    </row>
    <row r="417" spans="2:20" ht="15.75" x14ac:dyDescent="0.25">
      <c r="B417" s="691" t="str">
        <f>IF(D417&lt;&gt;"",COUNTA($D$415:D417),"")</f>
        <v/>
      </c>
      <c r="C417" s="691"/>
      <c r="D417" s="725"/>
      <c r="E417" s="725"/>
      <c r="F417" s="725"/>
      <c r="G417" s="725"/>
      <c r="H417" s="725"/>
      <c r="I417" s="701"/>
      <c r="J417" s="725"/>
      <c r="K417" s="725"/>
      <c r="L417" s="725"/>
      <c r="M417"/>
      <c r="N417" s="725"/>
      <c r="O417" s="725"/>
    </row>
    <row r="418" spans="2:20" ht="15.75" x14ac:dyDescent="0.25">
      <c r="B418" s="691">
        <f>IF(D418&lt;&gt;"",COUNTA($D$415:D418),"")</f>
        <v>3</v>
      </c>
      <c r="C418" s="691"/>
      <c r="D418" s="716" t="s">
        <v>654</v>
      </c>
      <c r="E418" s="716">
        <v>100</v>
      </c>
      <c r="F418" s="725"/>
      <c r="G418" s="725"/>
      <c r="H418" s="725"/>
      <c r="I418" s="701"/>
      <c r="J418" s="725"/>
      <c r="K418" s="725"/>
      <c r="L418" s="725"/>
      <c r="M418"/>
      <c r="N418" s="725"/>
      <c r="O418" s="725"/>
    </row>
    <row r="419" spans="2:20" x14ac:dyDescent="0.2">
      <c r="B419" s="691">
        <f>IF(D419&lt;&gt;"",COUNTA($D$415:D419),"")</f>
        <v>4</v>
      </c>
      <c r="C419" s="691"/>
      <c r="D419" s="727">
        <v>12</v>
      </c>
      <c r="E419" s="717">
        <v>1200</v>
      </c>
      <c r="F419" s="718">
        <f t="shared" ref="F419:F424" si="99">ROUND($H$445+$D419*SUM($H$446,$H$447)+SUM($H$448:$H$470)*$E419,2)</f>
        <v>201.42</v>
      </c>
      <c r="G419" s="743">
        <f t="shared" ref="G419:G424" si="100">ROUND($E419*$H$471,2)</f>
        <v>184.99</v>
      </c>
      <c r="H419" s="718">
        <f t="shared" ref="H419:H424" si="101">SUM(F419:G419)</f>
        <v>386.40999999999997</v>
      </c>
      <c r="I419" s="719"/>
      <c r="J419" s="718">
        <f t="shared" ref="J419:J424" si="102">ROUND($J$445+$D419*SUM($J$446,$J$447)+SUM($J$448:$J$470)*$E419,2)</f>
        <v>204.06</v>
      </c>
      <c r="K419" s="743">
        <f t="shared" ref="K419:K424" si="103">ROUND($J$471*$E419,2)</f>
        <v>184.99</v>
      </c>
      <c r="L419" s="718">
        <f t="shared" ref="L419:L424" si="104">SUM(J419:K419)</f>
        <v>389.05</v>
      </c>
      <c r="M419" s="719"/>
      <c r="N419" s="718">
        <f t="shared" ref="N419:N424" si="105">+L419-H419</f>
        <v>2.6400000000000432</v>
      </c>
      <c r="O419" s="744">
        <f t="shared" ref="O419:O424" si="106">+N419/H419</f>
        <v>6.8321213219120708E-3</v>
      </c>
      <c r="Q419" s="687" t="s">
        <v>27</v>
      </c>
    </row>
    <row r="420" spans="2:20" x14ac:dyDescent="0.2">
      <c r="B420" s="691">
        <f>IF(D420&lt;&gt;"",COUNTA($D$415:D420),"")</f>
        <v>5</v>
      </c>
      <c r="C420" s="691"/>
      <c r="D420" s="727">
        <v>24</v>
      </c>
      <c r="E420" s="717">
        <v>2400</v>
      </c>
      <c r="F420" s="718">
        <f t="shared" si="99"/>
        <v>387.84</v>
      </c>
      <c r="G420" s="743">
        <f t="shared" si="100"/>
        <v>369.98</v>
      </c>
      <c r="H420" s="718">
        <f t="shared" si="101"/>
        <v>757.81999999999994</v>
      </c>
      <c r="I420" s="719"/>
      <c r="J420" s="718">
        <f t="shared" si="102"/>
        <v>393.12</v>
      </c>
      <c r="K420" s="743">
        <f t="shared" si="103"/>
        <v>369.98</v>
      </c>
      <c r="L420" s="718">
        <f t="shared" si="104"/>
        <v>763.1</v>
      </c>
      <c r="M420" s="719"/>
      <c r="N420" s="718">
        <f t="shared" si="105"/>
        <v>5.2800000000000864</v>
      </c>
      <c r="O420" s="744">
        <f t="shared" si="106"/>
        <v>6.9673537251591236E-3</v>
      </c>
    </row>
    <row r="421" spans="2:20" x14ac:dyDescent="0.2">
      <c r="B421" s="691">
        <f>IF(D421&lt;&gt;"",COUNTA($D$415:D421),"")</f>
        <v>6</v>
      </c>
      <c r="C421" s="691"/>
      <c r="D421" s="727">
        <v>40</v>
      </c>
      <c r="E421" s="717">
        <v>4000</v>
      </c>
      <c r="F421" s="718">
        <f t="shared" si="99"/>
        <v>636.4</v>
      </c>
      <c r="G421" s="743">
        <f t="shared" si="100"/>
        <v>616.64</v>
      </c>
      <c r="H421" s="718">
        <f t="shared" si="101"/>
        <v>1253.04</v>
      </c>
      <c r="I421" s="719"/>
      <c r="J421" s="718">
        <f t="shared" si="102"/>
        <v>645.20000000000005</v>
      </c>
      <c r="K421" s="743">
        <f t="shared" si="103"/>
        <v>616.64</v>
      </c>
      <c r="L421" s="718">
        <f t="shared" si="104"/>
        <v>1261.8400000000001</v>
      </c>
      <c r="M421" s="719"/>
      <c r="N421" s="718">
        <f t="shared" si="105"/>
        <v>8.8000000000001819</v>
      </c>
      <c r="O421" s="744">
        <f t="shared" si="106"/>
        <v>7.0229202579328532E-3</v>
      </c>
    </row>
    <row r="422" spans="2:20" x14ac:dyDescent="0.2">
      <c r="B422" s="691">
        <f>IF(D422&lt;&gt;"",COUNTA($D$415:D422),"")</f>
        <v>7</v>
      </c>
      <c r="C422" s="691"/>
      <c r="D422" s="727">
        <v>50</v>
      </c>
      <c r="E422" s="717">
        <v>5000</v>
      </c>
      <c r="F422" s="718">
        <f t="shared" si="99"/>
        <v>791.75</v>
      </c>
      <c r="G422" s="743">
        <f t="shared" si="100"/>
        <v>770.8</v>
      </c>
      <c r="H422" s="718">
        <f t="shared" si="101"/>
        <v>1562.55</v>
      </c>
      <c r="I422" s="719"/>
      <c r="J422" s="718">
        <f t="shared" si="102"/>
        <v>802.75</v>
      </c>
      <c r="K422" s="743">
        <f t="shared" si="103"/>
        <v>770.8</v>
      </c>
      <c r="L422" s="718">
        <f t="shared" si="104"/>
        <v>1573.55</v>
      </c>
      <c r="M422" s="719"/>
      <c r="N422" s="718">
        <f t="shared" si="105"/>
        <v>11</v>
      </c>
      <c r="O422" s="744">
        <f t="shared" si="106"/>
        <v>7.0397747272087294E-3</v>
      </c>
    </row>
    <row r="423" spans="2:20" x14ac:dyDescent="0.2">
      <c r="B423" s="691">
        <f>IF(D423&lt;&gt;"",COUNTA($D$415:D423),"")</f>
        <v>8</v>
      </c>
      <c r="C423" s="691"/>
      <c r="D423" s="717">
        <v>125</v>
      </c>
      <c r="E423" s="717">
        <v>12500</v>
      </c>
      <c r="F423" s="718">
        <f t="shared" si="99"/>
        <v>1956.88</v>
      </c>
      <c r="G423" s="743">
        <f t="shared" si="100"/>
        <v>1927</v>
      </c>
      <c r="H423" s="718">
        <f t="shared" si="101"/>
        <v>3883.88</v>
      </c>
      <c r="I423" s="719"/>
      <c r="J423" s="718">
        <f t="shared" si="102"/>
        <v>1984.38</v>
      </c>
      <c r="K423" s="743">
        <f t="shared" si="103"/>
        <v>1927</v>
      </c>
      <c r="L423" s="718">
        <f t="shared" si="104"/>
        <v>3911.38</v>
      </c>
      <c r="M423" s="719"/>
      <c r="N423" s="718">
        <f t="shared" si="105"/>
        <v>27.5</v>
      </c>
      <c r="O423" s="744">
        <f t="shared" si="106"/>
        <v>7.0805483176617197E-3</v>
      </c>
      <c r="Q423" s="687" t="s">
        <v>27</v>
      </c>
    </row>
    <row r="424" spans="2:20" x14ac:dyDescent="0.2">
      <c r="B424" s="691">
        <f>IF(D424&lt;&gt;"",COUNTA($D$415:D424),"")</f>
        <v>9</v>
      </c>
      <c r="C424" s="691" t="s">
        <v>627</v>
      </c>
      <c r="D424" s="717">
        <v>50</v>
      </c>
      <c r="E424" s="717">
        <v>5000</v>
      </c>
      <c r="F424" s="718">
        <f t="shared" si="99"/>
        <v>791.75</v>
      </c>
      <c r="G424" s="743">
        <f t="shared" si="100"/>
        <v>770.8</v>
      </c>
      <c r="H424" s="718">
        <f t="shared" si="101"/>
        <v>1562.55</v>
      </c>
      <c r="I424" s="719"/>
      <c r="J424" s="718">
        <f t="shared" si="102"/>
        <v>802.75</v>
      </c>
      <c r="K424" s="743">
        <f t="shared" si="103"/>
        <v>770.8</v>
      </c>
      <c r="L424" s="718">
        <f t="shared" si="104"/>
        <v>1573.55</v>
      </c>
      <c r="M424" s="719"/>
      <c r="N424" s="718">
        <f t="shared" si="105"/>
        <v>11</v>
      </c>
      <c r="O424" s="744">
        <f t="shared" si="106"/>
        <v>7.0397747272087294E-3</v>
      </c>
    </row>
    <row r="425" spans="2:20" ht="15.75" x14ac:dyDescent="0.25">
      <c r="B425" s="691" t="str">
        <f>IF(D425&lt;&gt;"",COUNTA($D$415:D425),"")</f>
        <v/>
      </c>
      <c r="C425" s="691"/>
      <c r="D425" s="731"/>
      <c r="E425" s="731"/>
      <c r="F425" s="732"/>
      <c r="G425" s="732"/>
      <c r="H425" s="732"/>
      <c r="I425" s="733"/>
      <c r="J425" s="732"/>
      <c r="K425" s="732"/>
      <c r="L425" s="732"/>
      <c r="M425" s="733"/>
      <c r="N425" s="732"/>
      <c r="O425" s="745"/>
    </row>
    <row r="426" spans="2:20" x14ac:dyDescent="0.2">
      <c r="B426" s="691">
        <f>IF(D426&lt;&gt;"",COUNTA($D$415:D426),"")</f>
        <v>10</v>
      </c>
      <c r="C426" s="691"/>
      <c r="D426" s="716" t="s">
        <v>654</v>
      </c>
      <c r="E426" s="716">
        <v>215</v>
      </c>
      <c r="F426" s="719"/>
      <c r="G426" s="719"/>
      <c r="H426" s="719"/>
      <c r="I426" s="719"/>
      <c r="J426" s="719"/>
      <c r="K426" s="719"/>
      <c r="L426" s="719"/>
      <c r="M426" s="719"/>
      <c r="N426" s="719"/>
      <c r="O426" s="701"/>
    </row>
    <row r="427" spans="2:20" x14ac:dyDescent="0.2">
      <c r="B427" s="691">
        <f>IF(D427&lt;&gt;"",COUNTA($D$415:D427),"")</f>
        <v>11</v>
      </c>
      <c r="C427" s="691"/>
      <c r="D427" s="717">
        <v>10</v>
      </c>
      <c r="E427" s="717">
        <v>2150</v>
      </c>
      <c r="F427" s="718">
        <f t="shared" ref="F427:F432" si="107">ROUND($H$445+$D427*SUM($H$446,$H$447)+SUM($H$448:$H$470)*$E427,2)</f>
        <v>250.22</v>
      </c>
      <c r="G427" s="743">
        <f t="shared" ref="G427:G432" si="108">ROUND($E427*$H$471,2)</f>
        <v>331.44</v>
      </c>
      <c r="H427" s="718">
        <f t="shared" ref="H427:H432" si="109">SUM(F427:G427)</f>
        <v>581.66</v>
      </c>
      <c r="I427" s="719"/>
      <c r="J427" s="718">
        <f t="shared" ref="J427:J432" si="110">ROUND($J$445+$D427*SUM($J$446,$J$447)+SUM($J$448:$J$470)*$E427,2)</f>
        <v>254.95</v>
      </c>
      <c r="K427" s="743">
        <f t="shared" ref="K427:K432" si="111">ROUND($J$471*$E427,2)</f>
        <v>331.44</v>
      </c>
      <c r="L427" s="718">
        <f t="shared" ref="L427:L432" si="112">SUM(J427:K427)</f>
        <v>586.39</v>
      </c>
      <c r="M427" s="719"/>
      <c r="N427" s="718">
        <f t="shared" ref="N427:N432" si="113">+L427-H427</f>
        <v>4.7300000000000182</v>
      </c>
      <c r="O427" s="744">
        <f t="shared" ref="O427:O432" si="114">+N427/H427</f>
        <v>8.1318983598666211E-3</v>
      </c>
    </row>
    <row r="428" spans="2:20" x14ac:dyDescent="0.2">
      <c r="B428" s="691">
        <f>IF(D428&lt;&gt;"",COUNTA($D$415:D428),"")</f>
        <v>12</v>
      </c>
      <c r="C428" s="691"/>
      <c r="D428" s="717">
        <v>20</v>
      </c>
      <c r="E428" s="717">
        <v>4300</v>
      </c>
      <c r="F428" s="718">
        <f t="shared" si="107"/>
        <v>485.44</v>
      </c>
      <c r="G428" s="743">
        <f t="shared" si="108"/>
        <v>662.89</v>
      </c>
      <c r="H428" s="718">
        <f t="shared" si="109"/>
        <v>1148.33</v>
      </c>
      <c r="I428" s="719"/>
      <c r="J428" s="718">
        <f t="shared" si="110"/>
        <v>494.9</v>
      </c>
      <c r="K428" s="743">
        <f t="shared" si="111"/>
        <v>662.89</v>
      </c>
      <c r="L428" s="718">
        <f t="shared" si="112"/>
        <v>1157.79</v>
      </c>
      <c r="M428" s="719"/>
      <c r="N428" s="718">
        <f t="shared" si="113"/>
        <v>9.4600000000000364</v>
      </c>
      <c r="O428" s="744">
        <f t="shared" si="114"/>
        <v>8.238050037881129E-3</v>
      </c>
    </row>
    <row r="429" spans="2:20" x14ac:dyDescent="0.2">
      <c r="B429" s="691">
        <f>IF(D429&lt;&gt;"",COUNTA($D$415:D429),"")</f>
        <v>13</v>
      </c>
      <c r="C429" s="691"/>
      <c r="D429" s="717">
        <v>30</v>
      </c>
      <c r="E429" s="717">
        <v>6450</v>
      </c>
      <c r="F429" s="718">
        <f t="shared" si="107"/>
        <v>720.65</v>
      </c>
      <c r="G429" s="743">
        <f t="shared" si="108"/>
        <v>994.33</v>
      </c>
      <c r="H429" s="718">
        <f t="shared" si="109"/>
        <v>1714.98</v>
      </c>
      <c r="I429" s="719"/>
      <c r="J429" s="718">
        <f t="shared" si="110"/>
        <v>734.84</v>
      </c>
      <c r="K429" s="743">
        <f t="shared" si="111"/>
        <v>994.33</v>
      </c>
      <c r="L429" s="718">
        <f t="shared" si="112"/>
        <v>1729.17</v>
      </c>
      <c r="M429" s="719"/>
      <c r="N429" s="718">
        <f t="shared" si="113"/>
        <v>14.190000000000055</v>
      </c>
      <c r="O429" s="744">
        <f t="shared" si="114"/>
        <v>8.2741489696673172E-3</v>
      </c>
    </row>
    <row r="430" spans="2:20" x14ac:dyDescent="0.2">
      <c r="B430" s="691">
        <f>IF(D430&lt;&gt;"",COUNTA($D$415:D430),"")</f>
        <v>14</v>
      </c>
      <c r="C430" s="691"/>
      <c r="D430" s="717">
        <v>40</v>
      </c>
      <c r="E430" s="717">
        <v>8600</v>
      </c>
      <c r="F430" s="718">
        <f t="shared" si="107"/>
        <v>955.87</v>
      </c>
      <c r="G430" s="743">
        <f t="shared" si="108"/>
        <v>1325.78</v>
      </c>
      <c r="H430" s="718">
        <f t="shared" si="109"/>
        <v>2281.65</v>
      </c>
      <c r="I430" s="719"/>
      <c r="J430" s="718">
        <f t="shared" si="110"/>
        <v>974.79</v>
      </c>
      <c r="K430" s="743">
        <f t="shared" si="111"/>
        <v>1325.78</v>
      </c>
      <c r="L430" s="718">
        <f t="shared" si="112"/>
        <v>2300.5699999999997</v>
      </c>
      <c r="M430" s="719"/>
      <c r="N430" s="718">
        <f t="shared" si="113"/>
        <v>18.919999999999618</v>
      </c>
      <c r="O430" s="744">
        <f t="shared" si="114"/>
        <v>8.2922446475136927E-3</v>
      </c>
    </row>
    <row r="431" spans="2:20" x14ac:dyDescent="0.2">
      <c r="B431" s="691">
        <f>IF(D431&lt;&gt;"",COUNTA($D$415:D431),"")</f>
        <v>15</v>
      </c>
      <c r="C431" s="691"/>
      <c r="D431" s="717">
        <v>80</v>
      </c>
      <c r="E431" s="717">
        <v>17200</v>
      </c>
      <c r="F431" s="718">
        <f t="shared" si="107"/>
        <v>1896.74</v>
      </c>
      <c r="G431" s="743">
        <f t="shared" si="108"/>
        <v>2651.55</v>
      </c>
      <c r="H431" s="718">
        <f t="shared" si="109"/>
        <v>4548.29</v>
      </c>
      <c r="I431" s="719"/>
      <c r="J431" s="718">
        <f t="shared" si="110"/>
        <v>1934.58</v>
      </c>
      <c r="K431" s="743">
        <f t="shared" si="111"/>
        <v>2651.55</v>
      </c>
      <c r="L431" s="718">
        <f t="shared" si="112"/>
        <v>4586.13</v>
      </c>
      <c r="M431" s="719"/>
      <c r="N431" s="718">
        <f t="shared" si="113"/>
        <v>37.840000000000146</v>
      </c>
      <c r="O431" s="744">
        <f t="shared" si="114"/>
        <v>8.3196102271403411E-3</v>
      </c>
      <c r="T431" s="687" t="s">
        <v>27</v>
      </c>
    </row>
    <row r="432" spans="2:20" x14ac:dyDescent="0.2">
      <c r="B432" s="691">
        <f>IF(D432&lt;&gt;"",COUNTA($D$415:D432),"")</f>
        <v>16</v>
      </c>
      <c r="C432" s="691" t="s">
        <v>627</v>
      </c>
      <c r="D432" s="717">
        <v>35</v>
      </c>
      <c r="E432" s="717">
        <v>7525</v>
      </c>
      <c r="F432" s="718">
        <f t="shared" si="107"/>
        <v>838.26</v>
      </c>
      <c r="G432" s="743">
        <f t="shared" si="108"/>
        <v>1160.05</v>
      </c>
      <c r="H432" s="718">
        <f t="shared" si="109"/>
        <v>1998.31</v>
      </c>
      <c r="I432" s="719"/>
      <c r="J432" s="718">
        <f t="shared" si="110"/>
        <v>854.82</v>
      </c>
      <c r="K432" s="743">
        <f t="shared" si="111"/>
        <v>1160.05</v>
      </c>
      <c r="L432" s="718">
        <f t="shared" si="112"/>
        <v>2014.87</v>
      </c>
      <c r="M432" s="719"/>
      <c r="N432" s="718">
        <f t="shared" si="113"/>
        <v>16.559999999999945</v>
      </c>
      <c r="O432" s="744">
        <f t="shared" si="114"/>
        <v>8.2870025171269453E-3</v>
      </c>
    </row>
    <row r="433" spans="2:15" ht="15.75" x14ac:dyDescent="0.25">
      <c r="B433" s="691" t="str">
        <f>IF(D433&lt;&gt;"",COUNTA($D$415:D433),"")</f>
        <v/>
      </c>
      <c r="C433" s="691"/>
      <c r="D433" s="731"/>
      <c r="E433" s="731"/>
      <c r="F433" s="732"/>
      <c r="G433" s="732"/>
      <c r="H433" s="732"/>
      <c r="I433" s="733"/>
      <c r="J433" s="732"/>
      <c r="K433" s="732"/>
      <c r="L433" s="732"/>
      <c r="M433" s="733"/>
      <c r="N433" s="732"/>
      <c r="O433" s="745"/>
    </row>
    <row r="434" spans="2:15" x14ac:dyDescent="0.2">
      <c r="B434" s="691">
        <f>IF(D434&lt;&gt;"",COUNTA($D$415:D434),"")</f>
        <v>17</v>
      </c>
      <c r="C434" s="691"/>
      <c r="D434" s="716" t="s">
        <v>654</v>
      </c>
      <c r="E434" s="716">
        <v>390</v>
      </c>
      <c r="F434" s="719"/>
      <c r="G434" s="719"/>
      <c r="H434" s="719"/>
      <c r="I434" s="719"/>
      <c r="J434" s="719"/>
      <c r="K434" s="719"/>
      <c r="L434" s="719"/>
      <c r="M434" s="719"/>
      <c r="N434" s="719"/>
      <c r="O434" s="701"/>
    </row>
    <row r="435" spans="2:15" x14ac:dyDescent="0.2">
      <c r="B435" s="691">
        <f>IF(D435&lt;&gt;"",COUNTA($D$415:D435),"")</f>
        <v>18</v>
      </c>
      <c r="C435" s="691"/>
      <c r="D435" s="717">
        <v>7</v>
      </c>
      <c r="E435" s="717">
        <v>2730</v>
      </c>
      <c r="F435" s="718">
        <f t="shared" ref="F435:F440" si="115">ROUND($H$445+$D435*SUM($H$446,$H$447)+SUM($H$448:$H$470)*$E435,2)</f>
        <v>264.73</v>
      </c>
      <c r="G435" s="743">
        <f t="shared" ref="G435:G440" si="116">ROUND($E435*$H$471,2)</f>
        <v>420.86</v>
      </c>
      <c r="H435" s="718">
        <f t="shared" ref="H435:H440" si="117">SUM(F435:G435)</f>
        <v>685.59</v>
      </c>
      <c r="I435" s="719"/>
      <c r="J435" s="718">
        <f t="shared" ref="J435:J440" si="118">ROUND($J$445+$D435*SUM($J$446,$J$447)+SUM($J$448:$J$470)*$E435,2)</f>
        <v>270.73</v>
      </c>
      <c r="K435" s="743">
        <f t="shared" ref="K435:K440" si="119">ROUND($J$471*$E435,2)</f>
        <v>420.86</v>
      </c>
      <c r="L435" s="718">
        <f t="shared" ref="L435:L440" si="120">SUM(J435:K435)</f>
        <v>691.59</v>
      </c>
      <c r="M435" s="719"/>
      <c r="N435" s="718">
        <f t="shared" ref="N435:N440" si="121">+L435-H435</f>
        <v>6</v>
      </c>
      <c r="O435" s="744">
        <f t="shared" ref="O435:O440" si="122">+N435/H435</f>
        <v>8.7515862250032821E-3</v>
      </c>
    </row>
    <row r="436" spans="2:15" x14ac:dyDescent="0.2">
      <c r="B436" s="691">
        <f>IF(D436&lt;&gt;"",COUNTA($D$415:D436),"")</f>
        <v>19</v>
      </c>
      <c r="C436" s="691"/>
      <c r="D436" s="717">
        <v>15</v>
      </c>
      <c r="E436" s="717">
        <v>5850</v>
      </c>
      <c r="F436" s="718">
        <f t="shared" si="115"/>
        <v>550.13</v>
      </c>
      <c r="G436" s="743">
        <f t="shared" si="116"/>
        <v>901.84</v>
      </c>
      <c r="H436" s="718">
        <f t="shared" si="117"/>
        <v>1451.97</v>
      </c>
      <c r="I436" s="719"/>
      <c r="J436" s="718">
        <f t="shared" si="118"/>
        <v>563</v>
      </c>
      <c r="K436" s="743">
        <f t="shared" si="119"/>
        <v>901.84</v>
      </c>
      <c r="L436" s="718">
        <f t="shared" si="120"/>
        <v>1464.8400000000001</v>
      </c>
      <c r="M436" s="719"/>
      <c r="N436" s="718">
        <f t="shared" si="121"/>
        <v>12.870000000000118</v>
      </c>
      <c r="O436" s="744">
        <f t="shared" si="122"/>
        <v>8.8638195004029814E-3</v>
      </c>
    </row>
    <row r="437" spans="2:15" x14ac:dyDescent="0.2">
      <c r="B437" s="691">
        <f>IF(D437&lt;&gt;"",COUNTA($D$415:D437),"")</f>
        <v>20</v>
      </c>
      <c r="C437" s="691"/>
      <c r="D437" s="717">
        <v>20</v>
      </c>
      <c r="E437" s="717">
        <v>7800</v>
      </c>
      <c r="F437" s="718">
        <f t="shared" si="115"/>
        <v>728.51</v>
      </c>
      <c r="G437" s="743">
        <f t="shared" si="116"/>
        <v>1202.45</v>
      </c>
      <c r="H437" s="718">
        <f t="shared" si="117"/>
        <v>1930.96</v>
      </c>
      <c r="I437" s="719"/>
      <c r="J437" s="718">
        <f t="shared" si="118"/>
        <v>745.67</v>
      </c>
      <c r="K437" s="743">
        <f t="shared" si="119"/>
        <v>1202.45</v>
      </c>
      <c r="L437" s="718">
        <f t="shared" si="120"/>
        <v>1948.12</v>
      </c>
      <c r="M437" s="719"/>
      <c r="N437" s="718">
        <f t="shared" si="121"/>
        <v>17.159999999999854</v>
      </c>
      <c r="O437" s="744">
        <f t="shared" si="122"/>
        <v>8.8867713468947333E-3</v>
      </c>
    </row>
    <row r="438" spans="2:15" x14ac:dyDescent="0.2">
      <c r="B438" s="691">
        <f>IF(D438&lt;&gt;"",COUNTA($D$415:D438),"")</f>
        <v>21</v>
      </c>
      <c r="C438" s="691"/>
      <c r="D438" s="717">
        <v>30</v>
      </c>
      <c r="E438" s="717">
        <v>11700</v>
      </c>
      <c r="F438" s="718">
        <f t="shared" si="115"/>
        <v>1085.27</v>
      </c>
      <c r="G438" s="743">
        <f t="shared" si="116"/>
        <v>1803.67</v>
      </c>
      <c r="H438" s="718">
        <f t="shared" si="117"/>
        <v>2888.94</v>
      </c>
      <c r="I438" s="719"/>
      <c r="J438" s="718">
        <f t="shared" si="118"/>
        <v>1111.01</v>
      </c>
      <c r="K438" s="743">
        <f t="shared" si="119"/>
        <v>1803.67</v>
      </c>
      <c r="L438" s="718">
        <f t="shared" si="120"/>
        <v>2914.6800000000003</v>
      </c>
      <c r="M438" s="719"/>
      <c r="N438" s="718">
        <f t="shared" si="121"/>
        <v>25.740000000000236</v>
      </c>
      <c r="O438" s="744">
        <f t="shared" si="122"/>
        <v>8.9098423643274825E-3</v>
      </c>
    </row>
    <row r="439" spans="2:15" x14ac:dyDescent="0.2">
      <c r="B439" s="691">
        <f>IF(D439&lt;&gt;"",COUNTA($D$415:D439),"")</f>
        <v>22</v>
      </c>
      <c r="C439" s="691"/>
      <c r="D439" s="717">
        <v>60</v>
      </c>
      <c r="E439" s="717">
        <v>23400</v>
      </c>
      <c r="F439" s="718">
        <f t="shared" si="115"/>
        <v>2155.5300000000002</v>
      </c>
      <c r="G439" s="743">
        <f t="shared" si="116"/>
        <v>3607.34</v>
      </c>
      <c r="H439" s="718">
        <f t="shared" si="117"/>
        <v>5762.8700000000008</v>
      </c>
      <c r="I439" s="719"/>
      <c r="J439" s="718">
        <f t="shared" si="118"/>
        <v>2207.0100000000002</v>
      </c>
      <c r="K439" s="743">
        <f t="shared" si="119"/>
        <v>3607.34</v>
      </c>
      <c r="L439" s="718">
        <f t="shared" si="120"/>
        <v>5814.35</v>
      </c>
      <c r="M439" s="719"/>
      <c r="N439" s="718">
        <f t="shared" si="121"/>
        <v>51.479999999999563</v>
      </c>
      <c r="O439" s="744">
        <f t="shared" si="122"/>
        <v>8.933048984273384E-3</v>
      </c>
    </row>
    <row r="440" spans="2:15" x14ac:dyDescent="0.2">
      <c r="B440" s="691">
        <f>IF(D440&lt;&gt;"",COUNTA($D$415:D440),"")</f>
        <v>23</v>
      </c>
      <c r="C440" s="691" t="s">
        <v>627</v>
      </c>
      <c r="D440" s="717">
        <v>27</v>
      </c>
      <c r="E440" s="717">
        <v>10530</v>
      </c>
      <c r="F440" s="718">
        <f t="shared" si="115"/>
        <v>978.24</v>
      </c>
      <c r="G440" s="743">
        <f t="shared" si="116"/>
        <v>1623.3</v>
      </c>
      <c r="H440" s="718">
        <f t="shared" si="117"/>
        <v>2601.54</v>
      </c>
      <c r="I440" s="719"/>
      <c r="J440" s="718">
        <f t="shared" si="118"/>
        <v>1001.4</v>
      </c>
      <c r="K440" s="743">
        <f t="shared" si="119"/>
        <v>1623.3</v>
      </c>
      <c r="L440" s="718">
        <f t="shared" si="120"/>
        <v>2624.7</v>
      </c>
      <c r="M440" s="719"/>
      <c r="N440" s="718">
        <f t="shared" si="121"/>
        <v>23.159999999999854</v>
      </c>
      <c r="O440" s="744">
        <f t="shared" si="122"/>
        <v>8.9024193362392482E-3</v>
      </c>
    </row>
    <row r="441" spans="2:15" ht="15.75" x14ac:dyDescent="0.25">
      <c r="B441" s="691" t="str">
        <f>IF(D441&lt;&gt;"",COUNTA($D$415:D441),"")</f>
        <v/>
      </c>
      <c r="C441" s="691"/>
      <c r="D441" s="735"/>
      <c r="E441" s="735"/>
      <c r="F441" s="732"/>
      <c r="G441" s="732"/>
      <c r="H441" s="732"/>
      <c r="I441" s="733"/>
      <c r="J441" s="732"/>
      <c r="K441" s="732"/>
      <c r="L441" s="732"/>
      <c r="M441" s="733"/>
      <c r="N441" s="732"/>
      <c r="O441" s="745"/>
    </row>
    <row r="442" spans="2:15" ht="15.75" x14ac:dyDescent="0.25">
      <c r="B442" s="691" t="str">
        <f>IF(D442&lt;&gt;"",COUNTA($D$415:D442),"")</f>
        <v/>
      </c>
      <c r="C442" s="691"/>
      <c r="D442" s="735"/>
      <c r="E442" s="735"/>
      <c r="F442" s="732"/>
      <c r="G442" s="732"/>
      <c r="H442" s="739"/>
      <c r="I442" s="784"/>
      <c r="J442" s="732"/>
      <c r="K442" s="732"/>
      <c r="L442" s="732"/>
      <c r="M442" s="740"/>
      <c r="N442" s="739"/>
      <c r="O442" s="745"/>
    </row>
    <row r="443" spans="2:15" ht="15.75" x14ac:dyDescent="0.25">
      <c r="B443" s="691">
        <f>IF(D443&lt;&gt;"",COUNTA($D$415:D443),"")</f>
        <v>24</v>
      </c>
      <c r="C443" s="691"/>
      <c r="D443" s="701" t="s">
        <v>27</v>
      </c>
      <c r="E443" s="701"/>
      <c r="F443" s="701"/>
      <c r="G443"/>
      <c r="H443" s="746" t="str">
        <f>$G$28</f>
        <v>2024 Without CVEO</v>
      </c>
      <c r="J443" s="746" t="str">
        <f>$H$28</f>
        <v>2024 With CVEO</v>
      </c>
      <c r="K443" s="719"/>
      <c r="L443" s="701"/>
      <c r="M443"/>
      <c r="N443"/>
      <c r="O443"/>
    </row>
    <row r="444" spans="2:15" ht="17.25" x14ac:dyDescent="0.35">
      <c r="B444" s="691">
        <f>IF(D444&lt;&gt;"",COUNTA($D$415:D444),"")</f>
        <v>25</v>
      </c>
      <c r="C444" s="691"/>
      <c r="D444" s="721" t="s">
        <v>27</v>
      </c>
      <c r="E444" s="721"/>
      <c r="F444" s="701"/>
      <c r="G444"/>
      <c r="H444" s="747" t="s">
        <v>162</v>
      </c>
      <c r="I444" s="747"/>
      <c r="J444" s="747" t="s">
        <v>162</v>
      </c>
      <c r="K444" s="747" t="s">
        <v>626</v>
      </c>
      <c r="L444" s="701"/>
      <c r="M444"/>
      <c r="N444"/>
      <c r="O444"/>
    </row>
    <row r="445" spans="2:15" ht="15.75" x14ac:dyDescent="0.25">
      <c r="B445" s="691">
        <f>IF(D445&lt;&gt;"",COUNTA($D$415:D445),"")</f>
        <v>26</v>
      </c>
      <c r="C445" s="691"/>
      <c r="D445" s="701" t="s">
        <v>141</v>
      </c>
      <c r="E445" s="701"/>
      <c r="F445" s="721"/>
      <c r="G445"/>
      <c r="H445" s="748">
        <v>15</v>
      </c>
      <c r="I445" s="749"/>
      <c r="J445" s="748">
        <v>15</v>
      </c>
      <c r="K445" s="705">
        <f t="shared" ref="K445:K471" si="123">+J445-H445</f>
        <v>0</v>
      </c>
      <c r="L445" s="701"/>
      <c r="M445"/>
      <c r="N445"/>
      <c r="O445" t="s">
        <v>27</v>
      </c>
    </row>
    <row r="446" spans="2:15" ht="15.75" x14ac:dyDescent="0.25">
      <c r="B446" s="691">
        <f>IF(D446&lt;&gt;"",COUNTA($D$415:D446),"")</f>
        <v>27</v>
      </c>
      <c r="C446" s="691"/>
      <c r="D446" s="701" t="s">
        <v>655</v>
      </c>
      <c r="E446" s="701"/>
      <c r="F446" s="721"/>
      <c r="G446"/>
      <c r="H446" s="748">
        <v>2.38</v>
      </c>
      <c r="I446" s="749"/>
      <c r="J446" s="748">
        <v>2.38</v>
      </c>
      <c r="K446" s="705">
        <f t="shared" si="123"/>
        <v>0</v>
      </c>
      <c r="L446" s="701"/>
      <c r="M446"/>
      <c r="N446"/>
      <c r="O446"/>
    </row>
    <row r="447" spans="2:15" ht="15.75" x14ac:dyDescent="0.25">
      <c r="B447" s="691">
        <f>IF(D447&lt;&gt;"",COUNTA($D$415:D447),"")</f>
        <v>28</v>
      </c>
      <c r="C447" s="691"/>
      <c r="D447" s="701" t="s">
        <v>656</v>
      </c>
      <c r="E447" s="701"/>
      <c r="F447" s="721"/>
      <c r="G447"/>
      <c r="H447" s="748">
        <v>6.21</v>
      </c>
      <c r="I447" s="749"/>
      <c r="J447" s="748">
        <v>6.21</v>
      </c>
      <c r="K447" s="705">
        <f t="shared" si="123"/>
        <v>0</v>
      </c>
      <c r="L447" s="701"/>
      <c r="M447"/>
      <c r="N447"/>
      <c r="O447"/>
    </row>
    <row r="448" spans="2:15" ht="15.75" x14ac:dyDescent="0.25">
      <c r="B448" s="691">
        <f>IF(D448&lt;&gt;"",COUNTA($D$415:D448),"")</f>
        <v>29</v>
      </c>
      <c r="C448" s="691"/>
      <c r="D448" s="701" t="s">
        <v>628</v>
      </c>
      <c r="E448" s="701"/>
      <c r="F448" s="721"/>
      <c r="G448"/>
      <c r="H448" s="709">
        <v>2.3640000000000001E-2</v>
      </c>
      <c r="I448" s="709"/>
      <c r="J448" s="709">
        <v>2.3640000000000001E-2</v>
      </c>
      <c r="K448" s="709">
        <f t="shared" si="123"/>
        <v>0</v>
      </c>
      <c r="L448" s="701"/>
      <c r="M448"/>
      <c r="N448"/>
      <c r="O448"/>
    </row>
    <row r="449" spans="2:15" ht="15.75" x14ac:dyDescent="0.25">
      <c r="B449" s="691">
        <f>IF(D449&lt;&gt;"",COUNTA($D$415:D449),"")</f>
        <v>30</v>
      </c>
      <c r="C449" s="691"/>
      <c r="D449" s="701" t="s">
        <v>629</v>
      </c>
      <c r="E449" s="701"/>
      <c r="F449" s="721"/>
      <c r="G449"/>
      <c r="H449" s="709">
        <v>7.5000000000000002E-4</v>
      </c>
      <c r="I449" s="709"/>
      <c r="J449" s="709">
        <v>7.5000000000000002E-4</v>
      </c>
      <c r="K449" s="709">
        <f t="shared" si="123"/>
        <v>0</v>
      </c>
      <c r="L449" s="701"/>
      <c r="M449"/>
      <c r="N449"/>
      <c r="O449"/>
    </row>
    <row r="450" spans="2:15" ht="15.75" x14ac:dyDescent="0.25">
      <c r="B450" s="691">
        <f>IF(D450&lt;&gt;"",COUNTA($D$415:D450),"")</f>
        <v>31</v>
      </c>
      <c r="C450" s="691"/>
      <c r="D450" s="701" t="s">
        <v>630</v>
      </c>
      <c r="E450" s="701"/>
      <c r="F450" s="721"/>
      <c r="G450"/>
      <c r="H450" s="709">
        <v>4.0000000000000003E-5</v>
      </c>
      <c r="I450" s="709"/>
      <c r="J450" s="709">
        <v>4.0000000000000003E-5</v>
      </c>
      <c r="K450" s="709">
        <f t="shared" si="123"/>
        <v>0</v>
      </c>
      <c r="L450" s="701"/>
      <c r="M450"/>
      <c r="N450" t="s">
        <v>27</v>
      </c>
      <c r="O450"/>
    </row>
    <row r="451" spans="2:15" ht="15.75" x14ac:dyDescent="0.25">
      <c r="B451" s="691">
        <f>IF(D451&lt;&gt;"",COUNTA($D$415:D451),"")</f>
        <v>32</v>
      </c>
      <c r="C451" s="691"/>
      <c r="D451" s="701" t="s">
        <v>631</v>
      </c>
      <c r="E451" s="701"/>
      <c r="F451" s="721"/>
      <c r="G451"/>
      <c r="H451" s="709">
        <v>5.8999999999999999E-3</v>
      </c>
      <c r="I451" s="709"/>
      <c r="J451" s="709">
        <v>5.8999999999999999E-3</v>
      </c>
      <c r="K451" s="709">
        <f t="shared" si="123"/>
        <v>0</v>
      </c>
      <c r="L451" s="701"/>
      <c r="M451"/>
      <c r="N451"/>
      <c r="O451"/>
    </row>
    <row r="452" spans="2:15" ht="15.75" x14ac:dyDescent="0.25">
      <c r="B452" s="691">
        <f>IF(D452&lt;&gt;"",COUNTA($D$415:D452),"")</f>
        <v>33</v>
      </c>
      <c r="C452" s="691"/>
      <c r="D452" s="701" t="s">
        <v>632</v>
      </c>
      <c r="E452" s="701"/>
      <c r="F452" s="721"/>
      <c r="G452"/>
      <c r="H452" s="709">
        <v>6.0200000000000002E-3</v>
      </c>
      <c r="I452" s="709"/>
      <c r="J452" s="709">
        <v>6.0200000000000002E-3</v>
      </c>
      <c r="K452" s="709">
        <f t="shared" si="123"/>
        <v>0</v>
      </c>
      <c r="L452" s="701"/>
      <c r="M452"/>
      <c r="N452"/>
      <c r="O452"/>
    </row>
    <row r="453" spans="2:15" ht="15.75" x14ac:dyDescent="0.25">
      <c r="B453" s="691">
        <f>IF(D453&lt;&gt;"",COUNTA($D$415:D453),"")</f>
        <v>34</v>
      </c>
      <c r="C453" s="691"/>
      <c r="D453" s="701" t="s">
        <v>633</v>
      </c>
      <c r="E453" s="701"/>
      <c r="F453" s="721"/>
      <c r="G453"/>
      <c r="H453" s="709">
        <v>5.8E-4</v>
      </c>
      <c r="I453" s="709"/>
      <c r="J453" s="709">
        <v>5.8E-4</v>
      </c>
      <c r="K453" s="709">
        <f t="shared" si="123"/>
        <v>0</v>
      </c>
      <c r="L453" s="701"/>
      <c r="M453"/>
      <c r="N453"/>
      <c r="O453"/>
    </row>
    <row r="454" spans="2:15" ht="15.75" x14ac:dyDescent="0.25">
      <c r="B454" s="691">
        <f>IF(D454&lt;&gt;"",COUNTA($D$415:D454),"")</f>
        <v>35</v>
      </c>
      <c r="C454" s="691"/>
      <c r="D454" s="701" t="s">
        <v>634</v>
      </c>
      <c r="E454" s="701"/>
      <c r="F454" s="721"/>
      <c r="G454"/>
      <c r="H454" s="709">
        <v>1.197E-2</v>
      </c>
      <c r="I454" s="709"/>
      <c r="J454" s="709">
        <v>1.197E-2</v>
      </c>
      <c r="K454" s="709">
        <f t="shared" si="123"/>
        <v>0</v>
      </c>
      <c r="L454" s="701"/>
      <c r="M454"/>
      <c r="N454"/>
      <c r="O454"/>
    </row>
    <row r="455" spans="2:15" ht="15.75" x14ac:dyDescent="0.25">
      <c r="B455" s="691">
        <f>IF(D455&lt;&gt;"",COUNTA($D$415:D455),"")</f>
        <v>36</v>
      </c>
      <c r="C455" s="691"/>
      <c r="D455" s="701" t="s">
        <v>635</v>
      </c>
      <c r="E455" s="701"/>
      <c r="F455" s="721"/>
      <c r="G455"/>
      <c r="H455" s="709">
        <v>-1.9300000000000001E-3</v>
      </c>
      <c r="I455" s="709"/>
      <c r="J455" s="709">
        <v>-1.9300000000000001E-3</v>
      </c>
      <c r="K455" s="709">
        <f t="shared" si="123"/>
        <v>0</v>
      </c>
      <c r="L455" s="701"/>
      <c r="M455"/>
      <c r="N455"/>
      <c r="O455"/>
    </row>
    <row r="456" spans="2:15" ht="15.75" x14ac:dyDescent="0.25">
      <c r="B456" s="691">
        <f>IF(D456&lt;&gt;"",COUNTA($D$415:D456),"")</f>
        <v>37</v>
      </c>
      <c r="C456" s="691"/>
      <c r="D456" s="701" t="s">
        <v>636</v>
      </c>
      <c r="E456" s="701"/>
      <c r="F456" s="721"/>
      <c r="G456"/>
      <c r="H456" s="709">
        <v>4.0000000000000003E-5</v>
      </c>
      <c r="I456" s="709"/>
      <c r="J456" s="709">
        <v>4.0000000000000003E-5</v>
      </c>
      <c r="K456" s="709">
        <f t="shared" si="123"/>
        <v>0</v>
      </c>
      <c r="L456" s="701"/>
      <c r="M456"/>
      <c r="N456"/>
      <c r="O456"/>
    </row>
    <row r="457" spans="2:15" ht="15.75" x14ac:dyDescent="0.25">
      <c r="B457" s="691">
        <f>IF(D457&lt;&gt;"",COUNTA($D$415:D457),"")</f>
        <v>38</v>
      </c>
      <c r="C457" s="691"/>
      <c r="D457" s="701" t="s">
        <v>637</v>
      </c>
      <c r="E457" s="701"/>
      <c r="F457" s="721"/>
      <c r="G457"/>
      <c r="H457" s="709">
        <v>4.8900000000000002E-3</v>
      </c>
      <c r="I457" s="709"/>
      <c r="J457" s="709">
        <v>4.8900000000000002E-3</v>
      </c>
      <c r="K457" s="709">
        <f t="shared" si="123"/>
        <v>0</v>
      </c>
      <c r="L457" s="701"/>
      <c r="M457"/>
      <c r="N457"/>
      <c r="O457"/>
    </row>
    <row r="458" spans="2:15" ht="15.75" x14ac:dyDescent="0.25">
      <c r="B458" s="691">
        <f>IF(D458&lt;&gt;"",COUNTA($D$415:D458),"")</f>
        <v>39</v>
      </c>
      <c r="C458" s="691"/>
      <c r="D458" s="701" t="s">
        <v>638</v>
      </c>
      <c r="E458" s="701"/>
      <c r="F458" s="721"/>
      <c r="G458"/>
      <c r="H458" s="709">
        <v>0</v>
      </c>
      <c r="I458" s="709"/>
      <c r="J458" s="709">
        <v>0</v>
      </c>
      <c r="K458" s="709">
        <f t="shared" si="123"/>
        <v>0</v>
      </c>
      <c r="L458" s="701"/>
      <c r="M458"/>
      <c r="N458"/>
      <c r="O458"/>
    </row>
    <row r="459" spans="2:15" ht="15.75" x14ac:dyDescent="0.25">
      <c r="B459" s="691">
        <f>IF(D459&lt;&gt;"",COUNTA($D$415:D459),"")</f>
        <v>40</v>
      </c>
      <c r="C459" s="691"/>
      <c r="D459" s="701" t="s">
        <v>639</v>
      </c>
      <c r="E459" s="701"/>
      <c r="F459" s="721"/>
      <c r="G459"/>
      <c r="H459" s="709">
        <v>-3.4000000000000002E-4</v>
      </c>
      <c r="I459" s="709"/>
      <c r="J459" s="709">
        <v>-3.4000000000000002E-4</v>
      </c>
      <c r="K459" s="709">
        <f t="shared" si="123"/>
        <v>0</v>
      </c>
      <c r="L459" s="701"/>
      <c r="M459"/>
      <c r="N459"/>
      <c r="O459"/>
    </row>
    <row r="460" spans="2:15" ht="15.75" x14ac:dyDescent="0.25">
      <c r="B460" s="691">
        <f>IF(D460&lt;&gt;"",COUNTA($D$415:D460),"")</f>
        <v>41</v>
      </c>
      <c r="C460" s="691"/>
      <c r="D460" s="701" t="s">
        <v>640</v>
      </c>
      <c r="E460"/>
      <c r="F460"/>
      <c r="G460"/>
      <c r="H460" s="709">
        <v>1.0000000000000001E-5</v>
      </c>
      <c r="I460" s="709"/>
      <c r="J460" s="709">
        <v>1.0000000000000001E-5</v>
      </c>
      <c r="K460" s="709">
        <f t="shared" si="123"/>
        <v>0</v>
      </c>
      <c r="L460" s="701"/>
      <c r="M460"/>
      <c r="N460"/>
      <c r="O460"/>
    </row>
    <row r="461" spans="2:15" ht="15.75" x14ac:dyDescent="0.25">
      <c r="B461" s="691">
        <f>IF(D461&lt;&gt;"",COUNTA($D$415:D461),"")</f>
        <v>42</v>
      </c>
      <c r="C461" s="691"/>
      <c r="D461" s="701" t="s">
        <v>641</v>
      </c>
      <c r="E461" s="701"/>
      <c r="F461" s="721"/>
      <c r="G461"/>
      <c r="H461" s="709">
        <v>-3.6999999999999999E-4</v>
      </c>
      <c r="I461" s="709"/>
      <c r="J461" s="709">
        <v>-3.6999999999999999E-4</v>
      </c>
      <c r="K461" s="709">
        <f t="shared" si="123"/>
        <v>0</v>
      </c>
      <c r="L461" s="701"/>
      <c r="M461"/>
      <c r="N461"/>
      <c r="O461"/>
    </row>
    <row r="462" spans="2:15" ht="15.75" x14ac:dyDescent="0.25">
      <c r="B462" s="691">
        <f>IF(D462&lt;&gt;"",COUNTA($D$415:D462),"")</f>
        <v>43</v>
      </c>
      <c r="C462" s="691"/>
      <c r="D462" s="701" t="s">
        <v>642</v>
      </c>
      <c r="E462" s="701"/>
      <c r="F462" s="721"/>
      <c r="G462"/>
      <c r="H462" s="709">
        <v>1.2999999999999999E-3</v>
      </c>
      <c r="I462" s="709"/>
      <c r="J462" s="709">
        <v>1.2999999999999999E-3</v>
      </c>
      <c r="K462" s="709">
        <f t="shared" si="123"/>
        <v>0</v>
      </c>
      <c r="L462" s="701"/>
      <c r="M462"/>
      <c r="N462"/>
      <c r="O462"/>
    </row>
    <row r="463" spans="2:15" ht="15.75" x14ac:dyDescent="0.25">
      <c r="B463" s="691">
        <f>IF(D463&lt;&gt;"",COUNTA($D$415:D463),"")</f>
        <v>44</v>
      </c>
      <c r="C463" s="691"/>
      <c r="D463" s="701" t="s">
        <v>643</v>
      </c>
      <c r="E463" s="701"/>
      <c r="F463" s="721"/>
      <c r="G463"/>
      <c r="H463" s="709">
        <v>-1.33E-3</v>
      </c>
      <c r="I463" s="709"/>
      <c r="J463" s="709">
        <v>-1.33E-3</v>
      </c>
      <c r="K463" s="709">
        <f t="shared" si="123"/>
        <v>0</v>
      </c>
      <c r="L463" s="701"/>
      <c r="M463"/>
      <c r="N463"/>
      <c r="O463"/>
    </row>
    <row r="464" spans="2:15" ht="15.75" x14ac:dyDescent="0.25">
      <c r="B464" s="691">
        <f>IF(D464&lt;&gt;"",COUNTA($D$415:D464),"")</f>
        <v>45</v>
      </c>
      <c r="C464" s="691"/>
      <c r="D464" s="701" t="s">
        <v>644</v>
      </c>
      <c r="E464" s="701"/>
      <c r="F464" s="721"/>
      <c r="G464"/>
      <c r="H464" s="709">
        <v>1.34E-3</v>
      </c>
      <c r="I464" s="709"/>
      <c r="J464" s="709">
        <v>1.34E-3</v>
      </c>
      <c r="K464" s="709">
        <f t="shared" si="123"/>
        <v>0</v>
      </c>
      <c r="L464" s="701"/>
      <c r="M464"/>
      <c r="N464"/>
      <c r="O464"/>
    </row>
    <row r="465" spans="2:15" ht="15.75" x14ac:dyDescent="0.25">
      <c r="B465" s="691">
        <f>IF(D465&lt;&gt;"",COUNTA($D$415:D465),"")</f>
        <v>46</v>
      </c>
      <c r="C465" s="691"/>
      <c r="D465" s="701" t="s">
        <v>645</v>
      </c>
      <c r="E465" s="701"/>
      <c r="F465" s="721"/>
      <c r="G465"/>
      <c r="H465" s="709">
        <v>2.2200000000000002E-3</v>
      </c>
      <c r="I465" s="709"/>
      <c r="J465" s="709">
        <v>2.2200000000000002E-3</v>
      </c>
      <c r="K465" s="709">
        <f t="shared" si="123"/>
        <v>0</v>
      </c>
      <c r="L465" s="701"/>
      <c r="M465"/>
      <c r="N465"/>
      <c r="O465"/>
    </row>
    <row r="466" spans="2:15" ht="15.75" x14ac:dyDescent="0.25">
      <c r="B466" s="691">
        <f>IF(D466&lt;&gt;"",COUNTA($D$415:D466),"")</f>
        <v>47</v>
      </c>
      <c r="C466" s="691"/>
      <c r="D466" s="701" t="s">
        <v>646</v>
      </c>
      <c r="E466" s="701"/>
      <c r="F466" s="721"/>
      <c r="G466"/>
      <c r="H466" s="709">
        <v>-3.6999999999999999E-4</v>
      </c>
      <c r="I466" s="709"/>
      <c r="J466" s="709">
        <v>-3.6999999999999999E-4</v>
      </c>
      <c r="K466" s="709">
        <f t="shared" si="123"/>
        <v>0</v>
      </c>
      <c r="L466" s="701"/>
      <c r="M466"/>
      <c r="N466"/>
      <c r="O466"/>
    </row>
    <row r="467" spans="2:15" ht="15.75" x14ac:dyDescent="0.25">
      <c r="B467" s="691">
        <f>IF(D467&lt;&gt;"",COUNTA($D$415:D467),"")</f>
        <v>48</v>
      </c>
      <c r="C467" s="691"/>
      <c r="D467" s="701" t="s">
        <v>647</v>
      </c>
      <c r="E467" s="701"/>
      <c r="F467" s="721"/>
      <c r="G467"/>
      <c r="H467" s="709">
        <v>0</v>
      </c>
      <c r="I467" s="709"/>
      <c r="J467" s="709">
        <v>0</v>
      </c>
      <c r="K467" s="709">
        <f t="shared" si="123"/>
        <v>0</v>
      </c>
      <c r="L467" s="701"/>
      <c r="M467"/>
      <c r="N467"/>
      <c r="O467"/>
    </row>
    <row r="468" spans="2:15" ht="15.75" x14ac:dyDescent="0.25">
      <c r="B468" s="691">
        <f>IF(D468&lt;&gt;"",COUNTA($D$415:D468),"")</f>
        <v>49</v>
      </c>
      <c r="C468" s="691"/>
      <c r="D468" s="701" t="s">
        <v>648</v>
      </c>
      <c r="E468" s="701"/>
      <c r="F468" s="721"/>
      <c r="G468"/>
      <c r="H468" s="709">
        <f>EES!$G$22</f>
        <v>1.209E-2</v>
      </c>
      <c r="I468" s="709"/>
      <c r="J468" s="709">
        <f>EES!$K$22</f>
        <v>1.4290000000000001E-2</v>
      </c>
      <c r="K468" s="709">
        <f t="shared" si="123"/>
        <v>2.2000000000000006E-3</v>
      </c>
      <c r="L468" s="701"/>
      <c r="M468"/>
      <c r="N468"/>
      <c r="O468"/>
    </row>
    <row r="469" spans="2:15" ht="15.75" x14ac:dyDescent="0.25">
      <c r="B469" s="691">
        <f>IF(D469&lt;&gt;"",COUNTA($D$415:D469),"")</f>
        <v>50</v>
      </c>
      <c r="C469" s="691"/>
      <c r="D469" s="701" t="s">
        <v>649</v>
      </c>
      <c r="E469" s="701"/>
      <c r="F469" s="721"/>
      <c r="G469"/>
      <c r="H469" s="709">
        <v>2.5000000000000001E-3</v>
      </c>
      <c r="I469" s="709"/>
      <c r="J469" s="709">
        <v>2.5000000000000001E-3</v>
      </c>
      <c r="K469" s="709">
        <f t="shared" si="123"/>
        <v>0</v>
      </c>
      <c r="L469" s="701"/>
      <c r="M469"/>
      <c r="N469"/>
      <c r="O469"/>
    </row>
    <row r="470" spans="2:15" ht="15.75" x14ac:dyDescent="0.25">
      <c r="B470" s="691">
        <f>IF(D470&lt;&gt;"",COUNTA($D$415:D470),"")</f>
        <v>51</v>
      </c>
      <c r="C470" s="691"/>
      <c r="D470" s="701" t="s">
        <v>650</v>
      </c>
      <c r="E470" s="701"/>
      <c r="F470" s="721"/>
      <c r="G470"/>
      <c r="H470" s="709">
        <v>5.0000000000000001E-4</v>
      </c>
      <c r="I470" s="709"/>
      <c r="J470" s="709">
        <v>5.0000000000000001E-4</v>
      </c>
      <c r="K470" s="709">
        <f t="shared" si="123"/>
        <v>0</v>
      </c>
      <c r="L470" s="701"/>
      <c r="M470"/>
      <c r="N470"/>
      <c r="O470"/>
    </row>
    <row r="471" spans="2:15" ht="15.75" x14ac:dyDescent="0.25">
      <c r="B471" s="691">
        <f>IF(D471&lt;&gt;"",COUNTA($D$415:D471),"")</f>
        <v>52</v>
      </c>
      <c r="C471" s="691"/>
      <c r="D471" s="701" t="s">
        <v>651</v>
      </c>
      <c r="E471" s="701"/>
      <c r="F471" s="721"/>
      <c r="G471"/>
      <c r="H471" s="709">
        <v>0.15415999999999999</v>
      </c>
      <c r="I471" s="709"/>
      <c r="J471" s="709">
        <v>0.15415999999999999</v>
      </c>
      <c r="K471" s="709">
        <f t="shared" si="123"/>
        <v>0</v>
      </c>
      <c r="L471" s="701"/>
      <c r="M471"/>
      <c r="N471"/>
      <c r="O471"/>
    </row>
    <row r="472" spans="2:15" ht="15.75" x14ac:dyDescent="0.25">
      <c r="B472" s="691"/>
      <c r="C472" s="691"/>
      <c r="D472" s="701"/>
      <c r="E472" s="701"/>
      <c r="F472" s="721"/>
      <c r="G472"/>
      <c r="H472" s="748"/>
      <c r="I472" s="749"/>
      <c r="J472" s="748"/>
      <c r="K472" s="709"/>
      <c r="L472" s="701"/>
      <c r="M472"/>
      <c r="N472"/>
      <c r="O472"/>
    </row>
    <row r="473" spans="2:15" x14ac:dyDescent="0.2">
      <c r="D473" s="701"/>
    </row>
    <row r="474" spans="2:15" ht="15.75" x14ac:dyDescent="0.25">
      <c r="B474" s="1070" t="str">
        <f>$B$3</f>
        <v>Cape Light Compact JPE</v>
      </c>
      <c r="C474" s="1070"/>
      <c r="D474" s="1070"/>
      <c r="E474" s="1070"/>
      <c r="F474" s="1070"/>
      <c r="G474" s="1070"/>
      <c r="H474" s="1070"/>
      <c r="I474" s="1070"/>
      <c r="J474" s="1070"/>
      <c r="K474" s="1070"/>
      <c r="L474" s="1070"/>
      <c r="M474" s="1070"/>
      <c r="N474" s="1070"/>
      <c r="O474" s="1070"/>
    </row>
    <row r="475" spans="2:15" ht="15.75" x14ac:dyDescent="0.25">
      <c r="B475" s="1070" t="str">
        <f>$B$4</f>
        <v>Calculation of Monthly Typical Bill</v>
      </c>
      <c r="C475" s="1070"/>
      <c r="D475" s="1070"/>
      <c r="E475" s="1070"/>
      <c r="F475" s="1070"/>
      <c r="G475" s="1070"/>
      <c r="H475" s="1070"/>
      <c r="I475" s="1070"/>
      <c r="J475" s="1070"/>
      <c r="K475" s="1070"/>
      <c r="L475" s="1070"/>
      <c r="M475" s="1070"/>
      <c r="N475" s="1070"/>
      <c r="O475" s="1070"/>
    </row>
    <row r="476" spans="2:15" ht="15.75" x14ac:dyDescent="0.25">
      <c r="B476" s="1070" t="str">
        <f>$B$5</f>
        <v>Illustrative 2024 EES Rates</v>
      </c>
      <c r="C476" s="1070"/>
      <c r="D476" s="1070"/>
      <c r="E476" s="1070"/>
      <c r="F476" s="1070"/>
      <c r="G476" s="1070"/>
      <c r="H476" s="1070"/>
      <c r="I476" s="1070"/>
      <c r="J476" s="1070"/>
      <c r="K476" s="1070"/>
      <c r="L476" s="1070"/>
      <c r="M476" s="1070"/>
      <c r="N476" s="1070"/>
      <c r="O476" s="1070"/>
    </row>
    <row r="477" spans="2:15" ht="15.75" x14ac:dyDescent="0.25">
      <c r="B477" s="723"/>
      <c r="C477" s="723"/>
      <c r="D477" s="701"/>
      <c r="E477" s="701"/>
      <c r="F477" s="715"/>
      <c r="G477" s="777"/>
      <c r="H477" s="778"/>
      <c r="I477" s="701"/>
      <c r="J477" s="701"/>
      <c r="K477" s="701"/>
      <c r="L477" s="701"/>
      <c r="M477" s="701"/>
      <c r="N477" s="701"/>
      <c r="O477" s="701"/>
    </row>
    <row r="478" spans="2:15" ht="15.75" x14ac:dyDescent="0.25">
      <c r="B478" s="1071" t="s">
        <v>657</v>
      </c>
      <c r="C478" s="1071"/>
      <c r="D478" s="1071"/>
      <c r="E478" s="1071"/>
      <c r="F478" s="1071"/>
      <c r="G478" s="1071"/>
      <c r="H478" s="1071"/>
      <c r="I478" s="1071"/>
      <c r="J478" s="1071"/>
      <c r="K478" s="1071"/>
      <c r="L478" s="1071"/>
      <c r="M478" s="1071"/>
      <c r="N478" s="1071"/>
      <c r="O478" s="1071"/>
    </row>
    <row r="479" spans="2:15" ht="15.75" x14ac:dyDescent="0.25">
      <c r="B479" s="716"/>
      <c r="C479" s="716"/>
      <c r="D479" s="724"/>
      <c r="E479" s="701"/>
      <c r="F479" s="701"/>
      <c r="G479" s="701"/>
      <c r="H479" s="783"/>
      <c r="I479" s="701"/>
      <c r="J479"/>
      <c r="K479"/>
      <c r="L479"/>
      <c r="M479"/>
      <c r="N479"/>
      <c r="O479"/>
    </row>
    <row r="480" spans="2:15" ht="15.75" x14ac:dyDescent="0.25">
      <c r="B480" s="716"/>
      <c r="C480" s="716"/>
      <c r="D480" s="701"/>
      <c r="E480" s="701"/>
      <c r="F480" s="701"/>
      <c r="G480" s="701"/>
      <c r="H480" s="779"/>
      <c r="I480" s="701"/>
      <c r="J480"/>
      <c r="K480"/>
      <c r="L480"/>
      <c r="M480"/>
      <c r="N480"/>
      <c r="O480"/>
    </row>
    <row r="481" spans="2:15" ht="15.75" x14ac:dyDescent="0.25">
      <c r="B481" s="691">
        <f>IF(D481&lt;&gt;"",COUNTA($D$481:D481),"")</f>
        <v>1</v>
      </c>
      <c r="C481" s="691"/>
      <c r="D481" s="716" t="s">
        <v>12</v>
      </c>
      <c r="E481" s="716"/>
      <c r="F481" s="1067" t="str">
        <f>$F$10</f>
        <v>2024 Without CVEO</v>
      </c>
      <c r="G481" s="1067"/>
      <c r="H481" s="1067"/>
      <c r="I481" s="690"/>
      <c r="J481" s="1067" t="str">
        <f>$J$10</f>
        <v>2024 With CVEO</v>
      </c>
      <c r="K481" s="1068"/>
      <c r="L481" s="1068"/>
      <c r="M481"/>
      <c r="N481" s="1068" t="str">
        <f>$N$10</f>
        <v>Total Bill Impact</v>
      </c>
      <c r="O481" s="1068"/>
    </row>
    <row r="482" spans="2:15" ht="15.75" x14ac:dyDescent="0.25">
      <c r="B482" s="691">
        <f>IF(D482&lt;&gt;"",COUNTA($D$481:D482),"")</f>
        <v>2</v>
      </c>
      <c r="C482" s="691"/>
      <c r="D482" s="725" t="s">
        <v>158</v>
      </c>
      <c r="E482" s="725"/>
      <c r="F482" s="725" t="s">
        <v>624</v>
      </c>
      <c r="G482" s="725" t="s">
        <v>625</v>
      </c>
      <c r="H482" s="725" t="s">
        <v>176</v>
      </c>
      <c r="I482" s="701"/>
      <c r="J482" s="725" t="s">
        <v>624</v>
      </c>
      <c r="K482" s="725" t="s">
        <v>625</v>
      </c>
      <c r="L482" s="725" t="s">
        <v>176</v>
      </c>
      <c r="M482"/>
      <c r="N482" s="725" t="s">
        <v>626</v>
      </c>
      <c r="O482" s="725" t="s">
        <v>120</v>
      </c>
    </row>
    <row r="483" spans="2:15" x14ac:dyDescent="0.2">
      <c r="B483" s="691">
        <f>IF(D483&lt;&gt;"",COUNTA($D$481:D483),"")</f>
        <v>3</v>
      </c>
      <c r="C483" s="691"/>
      <c r="D483" s="727">
        <v>27000</v>
      </c>
      <c r="E483" s="727"/>
      <c r="F483" s="718">
        <f t="shared" ref="F483:F488" si="124">ROUND($H$494+$D483*SUM($H$495:$H$517),2)</f>
        <v>2845.95</v>
      </c>
      <c r="G483" s="718">
        <f t="shared" ref="G483:G488" si="125">ROUND($H$518*$D483,2)</f>
        <v>4162.32</v>
      </c>
      <c r="H483" s="718">
        <f t="shared" ref="H483:H488" si="126">SUM(F483:G483)</f>
        <v>7008.2699999999995</v>
      </c>
      <c r="I483" s="719"/>
      <c r="J483" s="718">
        <f t="shared" ref="J483:J488" si="127">ROUND($J$494+$D483*SUM($J$495:$J$517),2)</f>
        <v>2905.35</v>
      </c>
      <c r="K483" s="718">
        <f>ROUND($H$518*$D483,2)</f>
        <v>4162.32</v>
      </c>
      <c r="L483" s="718">
        <f t="shared" ref="L483:L488" si="128">SUM(J483:K483)</f>
        <v>7067.67</v>
      </c>
      <c r="M483" s="719"/>
      <c r="N483" s="718">
        <f t="shared" ref="N483:N488" si="129">+L483-H483</f>
        <v>59.400000000000546</v>
      </c>
      <c r="O483" s="744">
        <f t="shared" ref="O483:O488" si="130">+N483/H483</f>
        <v>8.4757008505666233E-3</v>
      </c>
    </row>
    <row r="484" spans="2:15" x14ac:dyDescent="0.2">
      <c r="B484" s="691">
        <f>IF(D484&lt;&gt;"",COUNTA($D$481:D484),"")</f>
        <v>4</v>
      </c>
      <c r="C484" s="691"/>
      <c r="D484" s="727">
        <v>40000</v>
      </c>
      <c r="E484" s="727"/>
      <c r="F484" s="718">
        <f t="shared" si="124"/>
        <v>4209</v>
      </c>
      <c r="G484" s="718">
        <f t="shared" si="125"/>
        <v>6166.4</v>
      </c>
      <c r="H484" s="718">
        <f t="shared" si="126"/>
        <v>10375.4</v>
      </c>
      <c r="I484" s="719"/>
      <c r="J484" s="718">
        <f t="shared" si="127"/>
        <v>4297</v>
      </c>
      <c r="K484" s="718">
        <f>ROUND($J$518*$D484,2)</f>
        <v>6166.4</v>
      </c>
      <c r="L484" s="718">
        <f t="shared" si="128"/>
        <v>10463.4</v>
      </c>
      <c r="M484" s="719"/>
      <c r="N484" s="718">
        <f t="shared" si="129"/>
        <v>88</v>
      </c>
      <c r="O484" s="744">
        <f t="shared" si="130"/>
        <v>8.481600709370242E-3</v>
      </c>
    </row>
    <row r="485" spans="2:15" x14ac:dyDescent="0.2">
      <c r="B485" s="691">
        <f>IF(D485&lt;&gt;"",COUNTA($D$481:D485),"")</f>
        <v>5</v>
      </c>
      <c r="C485" s="691"/>
      <c r="D485" s="727">
        <v>50000</v>
      </c>
      <c r="E485" s="727"/>
      <c r="F485" s="718">
        <f t="shared" si="124"/>
        <v>5257.5</v>
      </c>
      <c r="G485" s="718">
        <f t="shared" si="125"/>
        <v>7708</v>
      </c>
      <c r="H485" s="718">
        <f t="shared" si="126"/>
        <v>12965.5</v>
      </c>
      <c r="I485" s="719"/>
      <c r="J485" s="718">
        <f t="shared" si="127"/>
        <v>5367.5</v>
      </c>
      <c r="K485" s="718">
        <f>ROUND($J$518*$D485,2)</f>
        <v>7708</v>
      </c>
      <c r="L485" s="718">
        <f t="shared" si="128"/>
        <v>13075.5</v>
      </c>
      <c r="M485" s="719"/>
      <c r="N485" s="718">
        <f t="shared" si="129"/>
        <v>110</v>
      </c>
      <c r="O485" s="744">
        <f t="shared" si="130"/>
        <v>8.484053835177972E-3</v>
      </c>
    </row>
    <row r="486" spans="2:15" x14ac:dyDescent="0.2">
      <c r="B486" s="691">
        <f>IF(D486&lt;&gt;"",COUNTA($D$481:D486),"")</f>
        <v>6</v>
      </c>
      <c r="C486" s="691"/>
      <c r="D486" s="727">
        <v>75000</v>
      </c>
      <c r="E486" s="727"/>
      <c r="F486" s="718">
        <f t="shared" si="124"/>
        <v>7878.75</v>
      </c>
      <c r="G486" s="718">
        <f t="shared" si="125"/>
        <v>11562</v>
      </c>
      <c r="H486" s="718">
        <f t="shared" si="126"/>
        <v>19440.75</v>
      </c>
      <c r="I486" s="719"/>
      <c r="J486" s="718">
        <f t="shared" si="127"/>
        <v>8043.75</v>
      </c>
      <c r="K486" s="718">
        <f>ROUND($J$518*$D486,2)</f>
        <v>11562</v>
      </c>
      <c r="L486" s="718">
        <f t="shared" si="128"/>
        <v>19605.75</v>
      </c>
      <c r="M486" s="719"/>
      <c r="N486" s="718">
        <f t="shared" si="129"/>
        <v>165</v>
      </c>
      <c r="O486" s="744">
        <f t="shared" si="130"/>
        <v>8.4873268778210709E-3</v>
      </c>
    </row>
    <row r="487" spans="2:15" x14ac:dyDescent="0.2">
      <c r="B487" s="691">
        <f>IF(D487&lt;&gt;"",COUNTA($D$481:D487),"")</f>
        <v>7</v>
      </c>
      <c r="C487" s="691"/>
      <c r="D487" s="727">
        <v>160000</v>
      </c>
      <c r="E487" s="727"/>
      <c r="F487" s="718">
        <f t="shared" si="124"/>
        <v>16791</v>
      </c>
      <c r="G487" s="718">
        <f t="shared" si="125"/>
        <v>24665.599999999999</v>
      </c>
      <c r="H487" s="718">
        <f t="shared" si="126"/>
        <v>41456.6</v>
      </c>
      <c r="I487" s="719"/>
      <c r="J487" s="718">
        <f t="shared" si="127"/>
        <v>17143</v>
      </c>
      <c r="K487" s="718">
        <f>ROUND($J$518*$D487,2)</f>
        <v>24665.599999999999</v>
      </c>
      <c r="L487" s="718">
        <f t="shared" si="128"/>
        <v>41808.6</v>
      </c>
      <c r="M487" s="719"/>
      <c r="N487" s="718">
        <f t="shared" si="129"/>
        <v>352</v>
      </c>
      <c r="O487" s="744">
        <f t="shared" si="130"/>
        <v>8.4908072538510161E-3</v>
      </c>
    </row>
    <row r="488" spans="2:15" x14ac:dyDescent="0.2">
      <c r="B488" s="691">
        <f>IF(D488&lt;&gt;"",COUNTA($D$481:D488),"")</f>
        <v>8</v>
      </c>
      <c r="C488" s="691" t="s">
        <v>627</v>
      </c>
      <c r="D488" s="727">
        <v>69100</v>
      </c>
      <c r="E488" s="727"/>
      <c r="F488" s="718">
        <f t="shared" si="124"/>
        <v>7260.14</v>
      </c>
      <c r="G488" s="718">
        <f t="shared" si="125"/>
        <v>10652.46</v>
      </c>
      <c r="H488" s="718">
        <f t="shared" si="126"/>
        <v>17912.599999999999</v>
      </c>
      <c r="I488" s="719"/>
      <c r="J488" s="718">
        <f t="shared" si="127"/>
        <v>7412.16</v>
      </c>
      <c r="K488" s="718">
        <f>ROUND($J$518*$D488,2)</f>
        <v>10652.46</v>
      </c>
      <c r="L488" s="718">
        <f t="shared" si="128"/>
        <v>18064.62</v>
      </c>
      <c r="M488" s="719"/>
      <c r="N488" s="718">
        <f t="shared" si="129"/>
        <v>152.02000000000044</v>
      </c>
      <c r="O488" s="744">
        <f t="shared" si="130"/>
        <v>8.4867635072519033E-3</v>
      </c>
    </row>
    <row r="489" spans="2:15" x14ac:dyDescent="0.2">
      <c r="B489" s="691" t="str">
        <f>IF(D489&lt;&gt;"",COUNTA($D$481:D489),"")</f>
        <v/>
      </c>
      <c r="C489" s="691"/>
      <c r="D489" s="727"/>
      <c r="E489" s="727"/>
      <c r="F489" s="718"/>
      <c r="G489" s="718"/>
      <c r="H489" s="718"/>
      <c r="I489" s="719"/>
      <c r="J489" s="718"/>
      <c r="K489" s="718"/>
      <c r="L489" s="718"/>
      <c r="M489" s="719"/>
      <c r="N489" s="718"/>
      <c r="O489" s="744"/>
    </row>
    <row r="490" spans="2:15" x14ac:dyDescent="0.2">
      <c r="B490" s="691" t="str">
        <f>IF(D490&lt;&gt;"",COUNTA($D$481:D490),"")</f>
        <v/>
      </c>
      <c r="C490" s="691"/>
      <c r="D490" s="727"/>
      <c r="E490" s="727"/>
      <c r="F490" s="718"/>
      <c r="G490" s="718"/>
      <c r="H490" s="718"/>
      <c r="I490" s="719"/>
      <c r="J490" s="718" t="s">
        <v>27</v>
      </c>
      <c r="K490" s="718"/>
      <c r="L490" s="718"/>
      <c r="M490" s="719"/>
      <c r="N490" s="718"/>
      <c r="O490" s="744"/>
    </row>
    <row r="491" spans="2:15" ht="15.75" x14ac:dyDescent="0.25">
      <c r="B491" s="691" t="str">
        <f>IF(D491&lt;&gt;"",COUNTA($D$481:D491),"")</f>
        <v/>
      </c>
      <c r="C491" s="691"/>
      <c r="D491" s="735"/>
      <c r="E491" s="735"/>
      <c r="F491" s="732"/>
      <c r="G491" s="732"/>
      <c r="H491" s="739"/>
      <c r="I491" s="784"/>
      <c r="J491" s="732"/>
      <c r="K491" s="732"/>
      <c r="L491" s="732"/>
      <c r="M491" s="740"/>
      <c r="N491" s="739"/>
      <c r="O491" s="745"/>
    </row>
    <row r="492" spans="2:15" ht="15.75" x14ac:dyDescent="0.25">
      <c r="B492" s="691">
        <f>IF(D492&lt;&gt;"",COUNTA($D$481:D492),"")</f>
        <v>9</v>
      </c>
      <c r="C492" s="691"/>
      <c r="D492" s="701" t="s">
        <v>27</v>
      </c>
      <c r="E492" s="701"/>
      <c r="F492" s="701"/>
      <c r="G492"/>
      <c r="H492" s="746" t="str">
        <f>$G$28</f>
        <v>2024 Without CVEO</v>
      </c>
      <c r="J492" s="746" t="str">
        <f>$H$28</f>
        <v>2024 With CVEO</v>
      </c>
      <c r="K492" s="719"/>
      <c r="L492" s="701"/>
      <c r="M492"/>
      <c r="N492"/>
      <c r="O492"/>
    </row>
    <row r="493" spans="2:15" ht="17.25" x14ac:dyDescent="0.35">
      <c r="B493" s="691">
        <f>IF(D493&lt;&gt;"",COUNTA($D$481:D493),"")</f>
        <v>10</v>
      </c>
      <c r="C493" s="691"/>
      <c r="D493" s="721" t="s">
        <v>27</v>
      </c>
      <c r="E493" s="721"/>
      <c r="F493" s="701"/>
      <c r="G493"/>
      <c r="H493" s="747" t="s">
        <v>162</v>
      </c>
      <c r="I493" s="747"/>
      <c r="J493" s="747" t="s">
        <v>162</v>
      </c>
      <c r="K493" s="747" t="s">
        <v>626</v>
      </c>
      <c r="L493" s="701"/>
      <c r="M493"/>
      <c r="N493"/>
      <c r="O493"/>
    </row>
    <row r="494" spans="2:15" ht="15.75" x14ac:dyDescent="0.25">
      <c r="B494" s="691">
        <f>IF(D494&lt;&gt;"",COUNTA($D$481:D494),"")</f>
        <v>11</v>
      </c>
      <c r="C494" s="691"/>
      <c r="D494" s="701" t="s">
        <v>141</v>
      </c>
      <c r="E494" s="701"/>
      <c r="F494" s="721"/>
      <c r="G494"/>
      <c r="H494" s="748">
        <v>15</v>
      </c>
      <c r="I494" s="749"/>
      <c r="J494" s="748">
        <v>15</v>
      </c>
      <c r="K494" s="705">
        <f t="shared" ref="K494:K518" si="131">+J494-H494</f>
        <v>0</v>
      </c>
      <c r="L494" s="701"/>
      <c r="M494"/>
      <c r="N494"/>
      <c r="O494" t="s">
        <v>27</v>
      </c>
    </row>
    <row r="495" spans="2:15" ht="15.75" x14ac:dyDescent="0.25">
      <c r="B495" s="691">
        <f>IF(D495&lt;&gt;"",COUNTA($D$481:D495),"")</f>
        <v>12</v>
      </c>
      <c r="C495" s="691"/>
      <c r="D495" s="701" t="s">
        <v>628</v>
      </c>
      <c r="E495" s="701"/>
      <c r="F495" s="721"/>
      <c r="G495"/>
      <c r="H495" s="748">
        <v>2.1100000000000001E-2</v>
      </c>
      <c r="I495" s="749"/>
      <c r="J495" s="748">
        <v>2.1100000000000001E-2</v>
      </c>
      <c r="K495" s="705">
        <f t="shared" si="131"/>
        <v>0</v>
      </c>
      <c r="L495" s="701"/>
      <c r="M495"/>
      <c r="N495"/>
      <c r="O495"/>
    </row>
    <row r="496" spans="2:15" ht="15.75" x14ac:dyDescent="0.25">
      <c r="B496" s="691">
        <f>IF(D496&lt;&gt;"",COUNTA($D$481:D496),"")</f>
        <v>13</v>
      </c>
      <c r="C496" s="691"/>
      <c r="D496" s="701" t="s">
        <v>629</v>
      </c>
      <c r="E496" s="701"/>
      <c r="F496" s="721"/>
      <c r="G496"/>
      <c r="H496" s="709">
        <v>7.5000000000000002E-4</v>
      </c>
      <c r="I496" s="709"/>
      <c r="J496" s="709">
        <v>7.5000000000000002E-4</v>
      </c>
      <c r="K496" s="709">
        <f t="shared" si="131"/>
        <v>0</v>
      </c>
      <c r="L496" s="701"/>
      <c r="M496"/>
      <c r="N496"/>
      <c r="O496"/>
    </row>
    <row r="497" spans="2:15" ht="15.75" x14ac:dyDescent="0.25">
      <c r="B497" s="691">
        <f>IF(D497&lt;&gt;"",COUNTA($D$481:D497),"")</f>
        <v>14</v>
      </c>
      <c r="C497" s="691"/>
      <c r="D497" s="701" t="s">
        <v>630</v>
      </c>
      <c r="E497" s="701"/>
      <c r="F497" s="721"/>
      <c r="G497"/>
      <c r="H497" s="709">
        <v>4.0000000000000003E-5</v>
      </c>
      <c r="I497" s="709"/>
      <c r="J497" s="709">
        <v>4.0000000000000003E-5</v>
      </c>
      <c r="K497" s="709">
        <f t="shared" si="131"/>
        <v>0</v>
      </c>
      <c r="L497" s="701"/>
      <c r="M497"/>
      <c r="N497"/>
      <c r="O497"/>
    </row>
    <row r="498" spans="2:15" ht="15.75" x14ac:dyDescent="0.25">
      <c r="B498" s="691">
        <f>IF(D498&lt;&gt;"",COUNTA($D$481:D498),"")</f>
        <v>15</v>
      </c>
      <c r="C498" s="691"/>
      <c r="D498" s="701" t="s">
        <v>631</v>
      </c>
      <c r="E498" s="701"/>
      <c r="F498" s="721"/>
      <c r="G498"/>
      <c r="H498" s="709">
        <v>5.8999999999999999E-3</v>
      </c>
      <c r="I498" s="709"/>
      <c r="J498" s="709">
        <v>5.8999999999999999E-3</v>
      </c>
      <c r="K498" s="709">
        <f t="shared" si="131"/>
        <v>0</v>
      </c>
      <c r="L498" s="701"/>
      <c r="M498"/>
      <c r="N498"/>
      <c r="O498"/>
    </row>
    <row r="499" spans="2:15" ht="15.75" x14ac:dyDescent="0.25">
      <c r="B499" s="691">
        <f>IF(D499&lt;&gt;"",COUNTA($D$481:D499),"")</f>
        <v>16</v>
      </c>
      <c r="C499" s="691"/>
      <c r="D499" s="701" t="s">
        <v>632</v>
      </c>
      <c r="E499" s="701"/>
      <c r="F499" s="721"/>
      <c r="G499"/>
      <c r="H499" s="709">
        <v>6.0200000000000002E-3</v>
      </c>
      <c r="I499" s="709"/>
      <c r="J499" s="709">
        <v>6.0200000000000002E-3</v>
      </c>
      <c r="K499" s="709">
        <f t="shared" si="131"/>
        <v>0</v>
      </c>
      <c r="L499" s="701"/>
      <c r="M499"/>
      <c r="N499" t="s">
        <v>27</v>
      </c>
      <c r="O499"/>
    </row>
    <row r="500" spans="2:15" ht="15.75" x14ac:dyDescent="0.25">
      <c r="B500" s="691">
        <f>IF(D500&lt;&gt;"",COUNTA($D$481:D500),"")</f>
        <v>17</v>
      </c>
      <c r="C500" s="691"/>
      <c r="D500" s="701" t="s">
        <v>633</v>
      </c>
      <c r="E500" s="701"/>
      <c r="F500" s="721"/>
      <c r="G500"/>
      <c r="H500" s="709">
        <v>5.8E-4</v>
      </c>
      <c r="I500" s="709"/>
      <c r="J500" s="709">
        <v>5.8E-4</v>
      </c>
      <c r="K500" s="709">
        <f t="shared" si="131"/>
        <v>0</v>
      </c>
      <c r="L500" s="701"/>
      <c r="M500"/>
      <c r="N500"/>
      <c r="O500"/>
    </row>
    <row r="501" spans="2:15" ht="15.75" x14ac:dyDescent="0.25">
      <c r="B501" s="691">
        <f>IF(D501&lt;&gt;"",COUNTA($D$481:D501),"")</f>
        <v>18</v>
      </c>
      <c r="C501" s="691"/>
      <c r="D501" s="701" t="s">
        <v>634</v>
      </c>
      <c r="E501" s="701"/>
      <c r="F501" s="721"/>
      <c r="G501"/>
      <c r="H501" s="709">
        <v>1.197E-2</v>
      </c>
      <c r="I501" s="709"/>
      <c r="J501" s="709">
        <v>1.197E-2</v>
      </c>
      <c r="K501" s="709">
        <f t="shared" si="131"/>
        <v>0</v>
      </c>
      <c r="L501" s="701"/>
      <c r="M501"/>
      <c r="N501"/>
      <c r="O501"/>
    </row>
    <row r="502" spans="2:15" ht="15.75" x14ac:dyDescent="0.25">
      <c r="B502" s="691">
        <f>IF(D502&lt;&gt;"",COUNTA($D$481:D502),"")</f>
        <v>19</v>
      </c>
      <c r="C502" s="691"/>
      <c r="D502" s="701" t="s">
        <v>635</v>
      </c>
      <c r="E502" s="701"/>
      <c r="F502" s="721"/>
      <c r="G502"/>
      <c r="H502" s="709">
        <v>-1.9300000000000001E-3</v>
      </c>
      <c r="I502" s="709"/>
      <c r="J502" s="709">
        <v>-1.9300000000000001E-3</v>
      </c>
      <c r="K502" s="709">
        <f t="shared" si="131"/>
        <v>0</v>
      </c>
      <c r="L502" s="701"/>
      <c r="M502"/>
      <c r="N502"/>
      <c r="O502"/>
    </row>
    <row r="503" spans="2:15" ht="15.75" x14ac:dyDescent="0.25">
      <c r="B503" s="691">
        <f>IF(D503&lt;&gt;"",COUNTA($D$481:D503),"")</f>
        <v>20</v>
      </c>
      <c r="C503" s="691"/>
      <c r="D503" s="701" t="s">
        <v>636</v>
      </c>
      <c r="E503" s="701"/>
      <c r="F503" s="721"/>
      <c r="G503"/>
      <c r="H503" s="709">
        <v>4.0000000000000003E-5</v>
      </c>
      <c r="I503" s="709"/>
      <c r="J503" s="709">
        <v>4.0000000000000003E-5</v>
      </c>
      <c r="K503" s="709">
        <f t="shared" si="131"/>
        <v>0</v>
      </c>
      <c r="L503" s="701"/>
      <c r="M503"/>
      <c r="N503"/>
      <c r="O503"/>
    </row>
    <row r="504" spans="2:15" ht="15.75" x14ac:dyDescent="0.25">
      <c r="B504" s="691">
        <f>IF(D504&lt;&gt;"",COUNTA($D$481:D504),"")</f>
        <v>21</v>
      </c>
      <c r="C504" s="691"/>
      <c r="D504" s="701" t="s">
        <v>637</v>
      </c>
      <c r="E504" s="701"/>
      <c r="F504" s="721"/>
      <c r="G504"/>
      <c r="H504" s="709">
        <v>4.8900000000000002E-3</v>
      </c>
      <c r="I504" s="709"/>
      <c r="J504" s="709">
        <v>4.8900000000000002E-3</v>
      </c>
      <c r="K504" s="709">
        <f t="shared" si="131"/>
        <v>0</v>
      </c>
      <c r="L504" s="701"/>
      <c r="M504"/>
      <c r="N504"/>
      <c r="O504"/>
    </row>
    <row r="505" spans="2:15" ht="15.75" x14ac:dyDescent="0.25">
      <c r="B505" s="691">
        <f>IF(D505&lt;&gt;"",COUNTA($D$481:D505),"")</f>
        <v>22</v>
      </c>
      <c r="C505" s="691"/>
      <c r="D505" s="701" t="s">
        <v>638</v>
      </c>
      <c r="E505" s="701"/>
      <c r="F505" s="721"/>
      <c r="G505"/>
      <c r="H505" s="709">
        <v>0</v>
      </c>
      <c r="I505" s="709"/>
      <c r="J505" s="709">
        <v>0</v>
      </c>
      <c r="K505" s="709">
        <f t="shared" si="131"/>
        <v>0</v>
      </c>
      <c r="L505" s="701"/>
      <c r="M505"/>
      <c r="N505"/>
      <c r="O505"/>
    </row>
    <row r="506" spans="2:15" ht="15.75" x14ac:dyDescent="0.25">
      <c r="B506" s="691">
        <f>IF(D506&lt;&gt;"",COUNTA($D$481:D506),"")</f>
        <v>23</v>
      </c>
      <c r="C506" s="691"/>
      <c r="D506" s="701" t="s">
        <v>639</v>
      </c>
      <c r="E506" s="701"/>
      <c r="F506" s="721"/>
      <c r="G506"/>
      <c r="H506" s="709">
        <v>-3.4000000000000002E-4</v>
      </c>
      <c r="I506" s="709"/>
      <c r="J506" s="709">
        <v>-3.4000000000000002E-4</v>
      </c>
      <c r="K506" s="709">
        <f t="shared" si="131"/>
        <v>0</v>
      </c>
      <c r="L506" s="701"/>
      <c r="M506"/>
      <c r="N506"/>
      <c r="O506"/>
    </row>
    <row r="507" spans="2:15" ht="15.75" x14ac:dyDescent="0.25">
      <c r="B507" s="691">
        <f>IF(D507&lt;&gt;"",COUNTA($D$481:D507),"")</f>
        <v>24</v>
      </c>
      <c r="C507" s="691"/>
      <c r="D507" s="701" t="s">
        <v>640</v>
      </c>
      <c r="E507" s="701"/>
      <c r="F507" s="721"/>
      <c r="G507"/>
      <c r="H507" s="709">
        <v>1.0000000000000001E-5</v>
      </c>
      <c r="I507" s="709"/>
      <c r="J507" s="709">
        <v>1.0000000000000001E-5</v>
      </c>
      <c r="K507" s="709">
        <f t="shared" si="131"/>
        <v>0</v>
      </c>
      <c r="L507" s="701"/>
      <c r="M507"/>
      <c r="N507"/>
      <c r="O507"/>
    </row>
    <row r="508" spans="2:15" ht="15.75" x14ac:dyDescent="0.25">
      <c r="B508" s="691">
        <f>IF(D508&lt;&gt;"",COUNTA($D$481:D508),"")</f>
        <v>25</v>
      </c>
      <c r="C508" s="691"/>
      <c r="D508" s="701" t="s">
        <v>641</v>
      </c>
      <c r="E508" s="701"/>
      <c r="F508" s="721"/>
      <c r="G508"/>
      <c r="H508" s="709">
        <v>-3.6999999999999999E-4</v>
      </c>
      <c r="I508" s="709"/>
      <c r="J508" s="709">
        <v>-3.6999999999999999E-4</v>
      </c>
      <c r="K508" s="709">
        <f t="shared" si="131"/>
        <v>0</v>
      </c>
      <c r="L508" s="701"/>
      <c r="M508"/>
      <c r="N508"/>
      <c r="O508"/>
    </row>
    <row r="509" spans="2:15" ht="15.75" x14ac:dyDescent="0.25">
      <c r="B509" s="691">
        <f>IF(D509&lt;&gt;"",COUNTA($D$481:D509),"")</f>
        <v>26</v>
      </c>
      <c r="C509" s="691"/>
      <c r="D509" s="701" t="s">
        <v>642</v>
      </c>
      <c r="E509"/>
      <c r="F509"/>
      <c r="G509"/>
      <c r="H509" s="709">
        <v>1.2999999999999999E-3</v>
      </c>
      <c r="I509" s="709"/>
      <c r="J509" s="709">
        <v>1.2999999999999999E-3</v>
      </c>
      <c r="K509" s="709">
        <f t="shared" si="131"/>
        <v>0</v>
      </c>
      <c r="L509" s="701"/>
      <c r="M509"/>
      <c r="N509"/>
      <c r="O509"/>
    </row>
    <row r="510" spans="2:15" ht="15.75" x14ac:dyDescent="0.25">
      <c r="B510" s="691">
        <f>IF(D510&lt;&gt;"",COUNTA($D$481:D510),"")</f>
        <v>27</v>
      </c>
      <c r="C510" s="691"/>
      <c r="D510" s="701" t="s">
        <v>643</v>
      </c>
      <c r="E510" s="701"/>
      <c r="F510" s="721"/>
      <c r="G510"/>
      <c r="H510" s="709">
        <v>-1.33E-3</v>
      </c>
      <c r="I510" s="709"/>
      <c r="J510" s="709">
        <v>-1.33E-3</v>
      </c>
      <c r="K510" s="709">
        <f t="shared" si="131"/>
        <v>0</v>
      </c>
      <c r="L510" s="701"/>
      <c r="M510"/>
      <c r="N510"/>
      <c r="O510"/>
    </row>
    <row r="511" spans="2:15" ht="15.75" x14ac:dyDescent="0.25">
      <c r="B511" s="691">
        <f>IF(D511&lt;&gt;"",COUNTA($D$481:D511),"")</f>
        <v>28</v>
      </c>
      <c r="C511" s="691"/>
      <c r="D511" s="701" t="s">
        <v>644</v>
      </c>
      <c r="E511" s="701"/>
      <c r="F511" s="721"/>
      <c r="G511"/>
      <c r="H511" s="709">
        <v>1.34E-3</v>
      </c>
      <c r="I511" s="709"/>
      <c r="J511" s="709">
        <v>1.34E-3</v>
      </c>
      <c r="K511" s="709">
        <f t="shared" si="131"/>
        <v>0</v>
      </c>
      <c r="L511" s="701"/>
      <c r="M511"/>
      <c r="N511"/>
      <c r="O511"/>
    </row>
    <row r="512" spans="2:15" ht="15.75" x14ac:dyDescent="0.25">
      <c r="B512" s="691">
        <f>IF(D512&lt;&gt;"",COUNTA($D$481:D512),"")</f>
        <v>29</v>
      </c>
      <c r="C512" s="691"/>
      <c r="D512" s="701" t="s">
        <v>645</v>
      </c>
      <c r="E512" s="701"/>
      <c r="F512" s="721"/>
      <c r="G512"/>
      <c r="H512" s="709">
        <v>2.2200000000000002E-3</v>
      </c>
      <c r="I512" s="709"/>
      <c r="J512" s="709">
        <v>2.2200000000000002E-3</v>
      </c>
      <c r="K512" s="709">
        <f t="shared" si="131"/>
        <v>0</v>
      </c>
      <c r="L512" s="701"/>
      <c r="M512"/>
      <c r="N512"/>
      <c r="O512"/>
    </row>
    <row r="513" spans="2:15" ht="15.75" x14ac:dyDescent="0.25">
      <c r="B513" s="691">
        <f>IF(D513&lt;&gt;"",COUNTA($D$481:D513),"")</f>
        <v>30</v>
      </c>
      <c r="C513" s="691"/>
      <c r="D513" s="701" t="s">
        <v>646</v>
      </c>
      <c r="E513" s="701"/>
      <c r="F513" s="721"/>
      <c r="G513"/>
      <c r="H513" s="709">
        <v>-3.6999999999999999E-4</v>
      </c>
      <c r="I513" s="709"/>
      <c r="J513" s="709">
        <v>-3.6999999999999999E-4</v>
      </c>
      <c r="K513" s="709">
        <f t="shared" si="131"/>
        <v>0</v>
      </c>
      <c r="L513" s="701"/>
      <c r="M513"/>
      <c r="N513"/>
      <c r="O513"/>
    </row>
    <row r="514" spans="2:15" ht="15.75" x14ac:dyDescent="0.25">
      <c r="B514" s="691">
        <f>IF(D514&lt;&gt;"",COUNTA($D$481:D514),"")</f>
        <v>31</v>
      </c>
      <c r="C514" s="691"/>
      <c r="D514" s="701" t="s">
        <v>647</v>
      </c>
      <c r="E514" s="701"/>
      <c r="F514" s="721"/>
      <c r="G514"/>
      <c r="H514" s="709">
        <v>3.7940000000000002E-2</v>
      </c>
      <c r="I514" s="709"/>
      <c r="J514" s="709">
        <v>3.7940000000000002E-2</v>
      </c>
      <c r="K514" s="709">
        <f t="shared" si="131"/>
        <v>0</v>
      </c>
      <c r="L514" s="701"/>
      <c r="M514"/>
      <c r="N514"/>
      <c r="O514"/>
    </row>
    <row r="515" spans="2:15" ht="15.75" x14ac:dyDescent="0.25">
      <c r="B515" s="691">
        <f>IF(D515&lt;&gt;"",COUNTA($D$481:D515),"")</f>
        <v>32</v>
      </c>
      <c r="C515" s="691"/>
      <c r="D515" s="701" t="s">
        <v>648</v>
      </c>
      <c r="E515" s="701"/>
      <c r="F515" s="721"/>
      <c r="G515"/>
      <c r="H515" s="709">
        <f>EES!$G$22</f>
        <v>1.209E-2</v>
      </c>
      <c r="I515" s="709"/>
      <c r="J515" s="709">
        <f>EES!$K$22</f>
        <v>1.4290000000000001E-2</v>
      </c>
      <c r="K515" s="709">
        <f t="shared" si="131"/>
        <v>2.2000000000000006E-3</v>
      </c>
      <c r="L515" s="701"/>
      <c r="M515"/>
      <c r="N515"/>
      <c r="O515"/>
    </row>
    <row r="516" spans="2:15" ht="15.75" x14ac:dyDescent="0.25">
      <c r="B516" s="691">
        <f>IF(D516&lt;&gt;"",COUNTA($D$481:D516),"")</f>
        <v>33</v>
      </c>
      <c r="C516" s="691"/>
      <c r="D516" s="701" t="s">
        <v>649</v>
      </c>
      <c r="E516" s="701"/>
      <c r="F516" s="721"/>
      <c r="G516"/>
      <c r="H516" s="709">
        <v>2.5000000000000001E-3</v>
      </c>
      <c r="I516" s="709"/>
      <c r="J516" s="709">
        <v>2.5000000000000001E-3</v>
      </c>
      <c r="K516" s="709">
        <f t="shared" si="131"/>
        <v>0</v>
      </c>
      <c r="L516" s="701"/>
      <c r="M516"/>
      <c r="N516"/>
      <c r="O516"/>
    </row>
    <row r="517" spans="2:15" ht="15.75" x14ac:dyDescent="0.25">
      <c r="B517" s="691">
        <f>IF(D517&lt;&gt;"",COUNTA($D$481:D517),"")</f>
        <v>34</v>
      </c>
      <c r="C517" s="691"/>
      <c r="D517" s="701" t="s">
        <v>650</v>
      </c>
      <c r="E517" s="701"/>
      <c r="F517" s="721"/>
      <c r="G517"/>
      <c r="H517" s="709">
        <v>5.0000000000000001E-4</v>
      </c>
      <c r="I517" s="709"/>
      <c r="J517" s="709">
        <v>5.0000000000000001E-4</v>
      </c>
      <c r="K517" s="709">
        <f t="shared" si="131"/>
        <v>0</v>
      </c>
      <c r="L517" s="701"/>
      <c r="M517"/>
      <c r="N517"/>
      <c r="O517"/>
    </row>
    <row r="518" spans="2:15" ht="15.75" x14ac:dyDescent="0.25">
      <c r="B518" s="691">
        <f>IF(D518&lt;&gt;"",COUNTA($D$481:D518),"")</f>
        <v>35</v>
      </c>
      <c r="C518" s="691"/>
      <c r="D518" s="701" t="s">
        <v>651</v>
      </c>
      <c r="E518" s="701"/>
      <c r="F518" s="721"/>
      <c r="G518"/>
      <c r="H518" s="709">
        <v>0.15415999999999999</v>
      </c>
      <c r="I518" s="709"/>
      <c r="J518" s="709">
        <v>0.15415999999999999</v>
      </c>
      <c r="K518" s="709">
        <f t="shared" si="131"/>
        <v>0</v>
      </c>
      <c r="L518" s="701"/>
      <c r="M518"/>
      <c r="N518"/>
      <c r="O518"/>
    </row>
    <row r="521" spans="2:15" ht="15.75" x14ac:dyDescent="0.25">
      <c r="B521" s="1070" t="str">
        <f>$B$3</f>
        <v>Cape Light Compact JPE</v>
      </c>
      <c r="C521" s="1070"/>
      <c r="D521" s="1070"/>
      <c r="E521" s="1070"/>
      <c r="F521" s="1070"/>
      <c r="G521" s="1070"/>
      <c r="H521" s="1070"/>
      <c r="I521" s="1070"/>
      <c r="J521" s="1070"/>
      <c r="K521" s="1070"/>
      <c r="L521" s="1070"/>
      <c r="M521" s="1070"/>
      <c r="N521" s="1070"/>
      <c r="O521" s="1070"/>
    </row>
    <row r="522" spans="2:15" ht="15.75" x14ac:dyDescent="0.25">
      <c r="B522" s="1070" t="str">
        <f>$B$4</f>
        <v>Calculation of Monthly Typical Bill</v>
      </c>
      <c r="C522" s="1070"/>
      <c r="D522" s="1070"/>
      <c r="E522" s="1070"/>
      <c r="F522" s="1070"/>
      <c r="G522" s="1070"/>
      <c r="H522" s="1070"/>
      <c r="I522" s="1070"/>
      <c r="J522" s="1070"/>
      <c r="K522" s="1070"/>
      <c r="L522" s="1070"/>
      <c r="M522" s="1070"/>
      <c r="N522" s="1070"/>
      <c r="O522" s="1070"/>
    </row>
    <row r="523" spans="2:15" ht="15.75" x14ac:dyDescent="0.25">
      <c r="B523" s="1070" t="str">
        <f>$B$5</f>
        <v>Illustrative 2024 EES Rates</v>
      </c>
      <c r="C523" s="1070"/>
      <c r="D523" s="1070"/>
      <c r="E523" s="1070"/>
      <c r="F523" s="1070"/>
      <c r="G523" s="1070"/>
      <c r="H523" s="1070"/>
      <c r="I523" s="1070"/>
      <c r="J523" s="1070"/>
      <c r="K523" s="1070"/>
      <c r="L523" s="1070"/>
      <c r="M523" s="1070"/>
      <c r="N523" s="1070"/>
      <c r="O523" s="1070"/>
    </row>
    <row r="524" spans="2:15" ht="15.75" x14ac:dyDescent="0.25">
      <c r="B524" s="723"/>
      <c r="C524" s="723"/>
      <c r="D524" s="701"/>
      <c r="E524" s="701"/>
      <c r="F524" s="715"/>
      <c r="G524" s="777"/>
      <c r="H524" s="778"/>
      <c r="I524" s="701"/>
      <c r="J524" s="701"/>
      <c r="K524" s="701"/>
      <c r="L524" s="701"/>
      <c r="M524" s="701"/>
      <c r="N524" s="701"/>
      <c r="O524" s="701"/>
    </row>
    <row r="525" spans="2:15" ht="15.75" x14ac:dyDescent="0.25">
      <c r="B525" s="1071" t="s">
        <v>613</v>
      </c>
      <c r="C525" s="1071"/>
      <c r="D525" s="1071"/>
      <c r="E525" s="1071"/>
      <c r="F525" s="1071"/>
      <c r="G525" s="1071"/>
      <c r="H525" s="1071"/>
      <c r="I525" s="1071"/>
      <c r="J525" s="1071"/>
      <c r="K525" s="1071"/>
      <c r="L525" s="1071"/>
      <c r="M525" s="1071"/>
      <c r="N525" s="1071"/>
      <c r="O525" s="1071"/>
    </row>
    <row r="526" spans="2:15" ht="15.75" x14ac:dyDescent="0.25">
      <c r="B526" s="716"/>
      <c r="C526" s="716"/>
      <c r="D526" s="724"/>
      <c r="E526" s="701"/>
      <c r="F526" s="701"/>
      <c r="G526" s="701"/>
      <c r="H526" s="783"/>
      <c r="I526" s="701"/>
      <c r="J526"/>
      <c r="K526"/>
      <c r="L526"/>
      <c r="M526"/>
      <c r="N526"/>
      <c r="O526"/>
    </row>
    <row r="527" spans="2:15" ht="15.75" x14ac:dyDescent="0.25">
      <c r="B527" s="716"/>
      <c r="C527" s="716"/>
      <c r="D527" s="701"/>
      <c r="E527" s="701"/>
      <c r="F527" s="701"/>
      <c r="G527" s="701"/>
      <c r="H527" s="779"/>
      <c r="I527" s="701"/>
      <c r="J527"/>
      <c r="K527"/>
      <c r="L527"/>
      <c r="M527"/>
      <c r="N527"/>
      <c r="O527"/>
    </row>
    <row r="528" spans="2:15" ht="15.75" x14ac:dyDescent="0.25">
      <c r="B528" s="691">
        <f>IF(D528&lt;&gt;"",COUNTA($D$528:D528),"")</f>
        <v>1</v>
      </c>
      <c r="C528" s="691"/>
      <c r="D528" s="716" t="s">
        <v>12</v>
      </c>
      <c r="E528" s="716" t="s">
        <v>12</v>
      </c>
      <c r="F528" s="1067" t="str">
        <f>$F$10</f>
        <v>2024 Without CVEO</v>
      </c>
      <c r="G528" s="1067"/>
      <c r="H528" s="1067"/>
      <c r="I528" s="690"/>
      <c r="J528" s="1067" t="str">
        <f>$J$10</f>
        <v>2024 With CVEO</v>
      </c>
      <c r="K528" s="1068"/>
      <c r="L528" s="1068"/>
      <c r="M528"/>
      <c r="N528" s="1068" t="str">
        <f>$N$10</f>
        <v>Total Bill Impact</v>
      </c>
      <c r="O528" s="1068"/>
    </row>
    <row r="529" spans="2:17" ht="15.75" x14ac:dyDescent="0.25">
      <c r="B529" s="691">
        <f>IF(D529&lt;&gt;"",COUNTA($D$528:D529),"")</f>
        <v>2</v>
      </c>
      <c r="C529" s="691"/>
      <c r="D529" s="725" t="s">
        <v>653</v>
      </c>
      <c r="E529" s="725" t="s">
        <v>158</v>
      </c>
      <c r="F529" s="725" t="s">
        <v>624</v>
      </c>
      <c r="G529" s="725" t="s">
        <v>625</v>
      </c>
      <c r="H529" s="725" t="s">
        <v>176</v>
      </c>
      <c r="I529" s="701"/>
      <c r="J529" s="725" t="s">
        <v>624</v>
      </c>
      <c r="K529" s="725" t="s">
        <v>625</v>
      </c>
      <c r="L529" s="725" t="s">
        <v>176</v>
      </c>
      <c r="M529"/>
      <c r="N529" s="725" t="s">
        <v>626</v>
      </c>
      <c r="O529" s="725" t="s">
        <v>120</v>
      </c>
    </row>
    <row r="530" spans="2:17" ht="15.75" x14ac:dyDescent="0.25">
      <c r="B530" s="691" t="str">
        <f>IF(D530&lt;&gt;"",COUNTA($D$528:D530),"")</f>
        <v/>
      </c>
      <c r="C530" s="691"/>
      <c r="D530" s="725"/>
      <c r="E530" s="725"/>
      <c r="F530" s="725"/>
      <c r="G530" s="725"/>
      <c r="H530" s="725"/>
      <c r="I530" s="701"/>
      <c r="J530" s="725"/>
      <c r="K530" s="725"/>
      <c r="L530" s="725"/>
      <c r="M530"/>
      <c r="N530" s="725"/>
      <c r="O530" s="725"/>
    </row>
    <row r="531" spans="2:17" ht="15.75" x14ac:dyDescent="0.25">
      <c r="B531" s="691">
        <f>IF(D531&lt;&gt;"",COUNTA($D$528:D531),"")</f>
        <v>3</v>
      </c>
      <c r="C531" s="691"/>
      <c r="D531" s="716" t="s">
        <v>654</v>
      </c>
      <c r="E531" s="716">
        <v>260</v>
      </c>
      <c r="F531" s="725"/>
      <c r="G531" s="725"/>
      <c r="H531" s="725"/>
      <c r="I531" s="701"/>
      <c r="J531" s="725"/>
      <c r="K531" s="725"/>
      <c r="L531" s="725"/>
      <c r="M531"/>
      <c r="N531" s="725"/>
      <c r="O531" s="725"/>
    </row>
    <row r="532" spans="2:17" x14ac:dyDescent="0.2">
      <c r="B532" s="691">
        <f>IF(D532&lt;&gt;"",COUNTA($D$528:D532),"")</f>
        <v>4</v>
      </c>
      <c r="C532" s="691"/>
      <c r="D532" s="727">
        <v>1</v>
      </c>
      <c r="E532" s="717">
        <v>260</v>
      </c>
      <c r="F532" s="718">
        <f t="shared" ref="F532:F537" si="132">$H$558+$D532*SUM($H$559,$H$560)+$E532*(SUM($H$561,$H$563:$H$584)*$F$587)+SUM($H$562:$H$584)*$E532*$F$588</f>
        <v>51.5227</v>
      </c>
      <c r="G532" s="743">
        <f t="shared" ref="G532:G537" si="133">ROUND($H$585*$E532,2)</f>
        <v>40.08</v>
      </c>
      <c r="H532" s="718">
        <f t="shared" ref="H532:H537" si="134">SUM(F532:G532)</f>
        <v>91.602699999999999</v>
      </c>
      <c r="I532" s="719"/>
      <c r="J532" s="718">
        <f t="shared" ref="J532:J537" si="135">$J$558+$D532*SUM($J$559,$J$560)+$E532*(SUM($J$561,$J$563:$J$584)*$F$587)+SUM($J$562:$J$584)*$E532*$F$588</f>
        <v>52.094699999999996</v>
      </c>
      <c r="K532" s="743">
        <f t="shared" ref="K532:K537" si="136">ROUND($J$585*$E532,2)</f>
        <v>40.08</v>
      </c>
      <c r="L532" s="718">
        <f t="shared" ref="L532:L537" si="137">SUM(J532:K532)</f>
        <v>92.174700000000001</v>
      </c>
      <c r="M532" s="719"/>
      <c r="N532" s="718">
        <f t="shared" ref="N532:N537" si="138">+L532-H532</f>
        <v>0.57200000000000273</v>
      </c>
      <c r="O532" s="744">
        <f t="shared" ref="O532:O537" si="139">+N532/H532</f>
        <v>6.2443574261457661E-3</v>
      </c>
    </row>
    <row r="533" spans="2:17" x14ac:dyDescent="0.2">
      <c r="B533" s="691">
        <f>IF(D533&lt;&gt;"",COUNTA($D$528:D533),"")</f>
        <v>5</v>
      </c>
      <c r="C533" s="691"/>
      <c r="D533" s="727">
        <v>2</v>
      </c>
      <c r="E533" s="717">
        <v>520</v>
      </c>
      <c r="F533" s="718">
        <f t="shared" si="132"/>
        <v>83.045400000000001</v>
      </c>
      <c r="G533" s="743">
        <f t="shared" si="133"/>
        <v>80.16</v>
      </c>
      <c r="H533" s="718">
        <f t="shared" si="134"/>
        <v>163.2054</v>
      </c>
      <c r="I533" s="719"/>
      <c r="J533" s="718">
        <f t="shared" si="135"/>
        <v>84.189399999999992</v>
      </c>
      <c r="K533" s="743">
        <f t="shared" si="136"/>
        <v>80.16</v>
      </c>
      <c r="L533" s="718">
        <f t="shared" si="137"/>
        <v>164.3494</v>
      </c>
      <c r="M533" s="719"/>
      <c r="N533" s="718">
        <f t="shared" si="138"/>
        <v>1.1440000000000055</v>
      </c>
      <c r="O533" s="744">
        <f t="shared" si="139"/>
        <v>7.0095719872014378E-3</v>
      </c>
    </row>
    <row r="534" spans="2:17" x14ac:dyDescent="0.2">
      <c r="B534" s="691">
        <f>IF(D534&lt;&gt;"",COUNTA($D$528:D534),"")</f>
        <v>6</v>
      </c>
      <c r="C534" s="691"/>
      <c r="D534" s="727">
        <v>3</v>
      </c>
      <c r="E534" s="717">
        <v>780</v>
      </c>
      <c r="F534" s="718">
        <f t="shared" si="132"/>
        <v>114.5681</v>
      </c>
      <c r="G534" s="743">
        <f t="shared" si="133"/>
        <v>120.24</v>
      </c>
      <c r="H534" s="718">
        <f t="shared" si="134"/>
        <v>234.8081</v>
      </c>
      <c r="I534" s="719"/>
      <c r="J534" s="718">
        <f>$J$558+$D534*SUM($J$559,$J$560)+$E534*(SUM($J$561,$J$563:$J$584)*$F$587)+SUM($J$562:$J$584)*$E534*$F$588</f>
        <v>116.2841</v>
      </c>
      <c r="K534" s="743">
        <f>ROUND($J$585*$E534,2)</f>
        <v>120.24</v>
      </c>
      <c r="L534" s="718">
        <f t="shared" si="137"/>
        <v>236.52409999999998</v>
      </c>
      <c r="M534" s="719"/>
      <c r="N534" s="718">
        <f t="shared" si="138"/>
        <v>1.7159999999999798</v>
      </c>
      <c r="O534" s="744">
        <f t="shared" si="139"/>
        <v>7.3080954191954185E-3</v>
      </c>
    </row>
    <row r="535" spans="2:17" x14ac:dyDescent="0.2">
      <c r="B535" s="691">
        <f>IF(D535&lt;&gt;"",COUNTA($D$528:D535),"")</f>
        <v>7</v>
      </c>
      <c r="C535" s="691"/>
      <c r="D535" s="727">
        <v>5</v>
      </c>
      <c r="E535" s="717">
        <v>1300</v>
      </c>
      <c r="F535" s="718">
        <f t="shared" si="132"/>
        <v>177.61350000000002</v>
      </c>
      <c r="G535" s="743">
        <f t="shared" si="133"/>
        <v>200.41</v>
      </c>
      <c r="H535" s="718">
        <f t="shared" si="134"/>
        <v>378.02350000000001</v>
      </c>
      <c r="I535" s="719"/>
      <c r="J535" s="718">
        <f t="shared" si="135"/>
        <v>180.4735</v>
      </c>
      <c r="K535" s="743">
        <f t="shared" si="136"/>
        <v>200.41</v>
      </c>
      <c r="L535" s="718">
        <f t="shared" si="137"/>
        <v>380.88350000000003</v>
      </c>
      <c r="M535" s="719"/>
      <c r="N535" s="718">
        <f t="shared" si="138"/>
        <v>2.8600000000000136</v>
      </c>
      <c r="O535" s="744">
        <f t="shared" si="139"/>
        <v>7.565667213810817E-3</v>
      </c>
    </row>
    <row r="536" spans="2:17" x14ac:dyDescent="0.2">
      <c r="B536" s="691">
        <f>IF(D536&lt;&gt;"",COUNTA($D$528:D536),"")</f>
        <v>8</v>
      </c>
      <c r="C536" s="691"/>
      <c r="D536" s="717">
        <v>10</v>
      </c>
      <c r="E536" s="717">
        <v>2600</v>
      </c>
      <c r="F536" s="718">
        <f t="shared" si="132"/>
        <v>335.22700000000003</v>
      </c>
      <c r="G536" s="743">
        <f t="shared" si="133"/>
        <v>400.82</v>
      </c>
      <c r="H536" s="718">
        <f t="shared" si="134"/>
        <v>736.04700000000003</v>
      </c>
      <c r="I536" s="719"/>
      <c r="J536" s="718">
        <f t="shared" si="135"/>
        <v>340.947</v>
      </c>
      <c r="K536" s="743">
        <f t="shared" si="136"/>
        <v>400.82</v>
      </c>
      <c r="L536" s="718">
        <f t="shared" si="137"/>
        <v>741.76700000000005</v>
      </c>
      <c r="M536" s="719"/>
      <c r="N536" s="718">
        <f t="shared" si="138"/>
        <v>5.7200000000000273</v>
      </c>
      <c r="O536" s="744">
        <f t="shared" si="139"/>
        <v>7.7712428690016088E-3</v>
      </c>
    </row>
    <row r="537" spans="2:17" x14ac:dyDescent="0.2">
      <c r="B537" s="691">
        <f>IF(D537&lt;&gt;"",COUNTA($D$528:D537),"")</f>
        <v>9</v>
      </c>
      <c r="C537" s="691" t="s">
        <v>627</v>
      </c>
      <c r="D537" s="717">
        <v>9</v>
      </c>
      <c r="E537" s="717">
        <v>2340</v>
      </c>
      <c r="F537" s="718">
        <f t="shared" si="132"/>
        <v>303.70429999999999</v>
      </c>
      <c r="G537" s="743">
        <f t="shared" si="133"/>
        <v>360.73</v>
      </c>
      <c r="H537" s="718">
        <f t="shared" si="134"/>
        <v>664.43430000000001</v>
      </c>
      <c r="I537" s="719"/>
      <c r="J537" s="718">
        <f t="shared" si="135"/>
        <v>308.85230000000001</v>
      </c>
      <c r="K537" s="743">
        <f t="shared" si="136"/>
        <v>360.73</v>
      </c>
      <c r="L537" s="718">
        <f t="shared" si="137"/>
        <v>669.58230000000003</v>
      </c>
      <c r="M537" s="719"/>
      <c r="N537" s="718">
        <f t="shared" si="138"/>
        <v>5.1480000000000246</v>
      </c>
      <c r="O537" s="744">
        <f t="shared" si="139"/>
        <v>7.7479443791508423E-3</v>
      </c>
    </row>
    <row r="538" spans="2:17" ht="15.75" x14ac:dyDescent="0.25">
      <c r="B538" s="691" t="str">
        <f>IF(D538&lt;&gt;"",COUNTA($D$528:D538),"")</f>
        <v/>
      </c>
      <c r="C538" s="691"/>
      <c r="D538" s="731"/>
      <c r="E538" s="731"/>
      <c r="F538" s="732"/>
      <c r="G538" s="732"/>
      <c r="H538" s="732"/>
      <c r="I538" s="733"/>
      <c r="J538" s="732"/>
      <c r="K538" s="732"/>
      <c r="L538" s="732"/>
      <c r="M538" s="733"/>
      <c r="N538" s="732"/>
      <c r="O538" s="745"/>
    </row>
    <row r="539" spans="2:17" x14ac:dyDescent="0.2">
      <c r="B539" s="691">
        <f>IF(D539&lt;&gt;"",COUNTA($D$528:D539),"")</f>
        <v>10</v>
      </c>
      <c r="C539" s="691"/>
      <c r="D539" s="716" t="s">
        <v>654</v>
      </c>
      <c r="E539" s="716">
        <v>495</v>
      </c>
      <c r="F539" s="719"/>
      <c r="G539" s="719"/>
      <c r="H539" s="719"/>
      <c r="I539" s="719"/>
      <c r="J539" s="719"/>
      <c r="K539" s="719"/>
      <c r="L539" s="719"/>
      <c r="M539" s="719"/>
      <c r="N539" s="719"/>
      <c r="O539" s="701"/>
    </row>
    <row r="540" spans="2:17" x14ac:dyDescent="0.2">
      <c r="B540" s="691">
        <f>IF(D540&lt;&gt;"",COUNTA($D$528:D540),"")</f>
        <v>11</v>
      </c>
      <c r="C540" s="691"/>
      <c r="D540" s="717">
        <v>1</v>
      </c>
      <c r="E540" s="717">
        <v>495</v>
      </c>
      <c r="F540" s="718">
        <f t="shared" ref="F540:F545" si="140">$H$558+$D540*SUM($H$559,$H$560)+$E540*(SUM($H$561,$H$563:$H$584)*$F$587)+SUM($H$562:$H$584)*$E540*$F$588</f>
        <v>76.173024999999996</v>
      </c>
      <c r="G540" s="743">
        <f t="shared" ref="G540:G545" si="141">ROUND($H$585*$E540,2)</f>
        <v>76.31</v>
      </c>
      <c r="H540" s="718">
        <f t="shared" ref="H540:H545" si="142">SUM(F540:G540)</f>
        <v>152.483025</v>
      </c>
      <c r="I540" s="719"/>
      <c r="J540" s="718">
        <f t="shared" ref="J540:J545" si="143">$J$558+$D540*SUM($J$559,$J$560)+$E540*(SUM($J$561,$J$563:$J$584)*$F$587)+SUM($J$562:$J$584)*$E540*$F$588</f>
        <v>77.262024999999994</v>
      </c>
      <c r="K540" s="743">
        <f t="shared" ref="K540:K545" si="144">ROUND($J$585*$E540,2)</f>
        <v>76.31</v>
      </c>
      <c r="L540" s="718">
        <f t="shared" ref="L540:L545" si="145">SUM(J540:K540)</f>
        <v>153.572025</v>
      </c>
      <c r="M540" s="719"/>
      <c r="N540" s="718">
        <f t="shared" ref="N540:N545" si="146">+L540-H540</f>
        <v>1.0889999999999986</v>
      </c>
      <c r="O540" s="744">
        <f t="shared" ref="O540:O545" si="147">+N540/H540</f>
        <v>7.1417785684668748E-3</v>
      </c>
    </row>
    <row r="541" spans="2:17" x14ac:dyDescent="0.2">
      <c r="B541" s="691">
        <f>IF(D541&lt;&gt;"",COUNTA($D$528:D541),"")</f>
        <v>12</v>
      </c>
      <c r="C541" s="691"/>
      <c r="D541" s="717">
        <v>2</v>
      </c>
      <c r="E541" s="717">
        <v>990</v>
      </c>
      <c r="F541" s="718">
        <f t="shared" si="140"/>
        <v>132.34604999999999</v>
      </c>
      <c r="G541" s="743">
        <f t="shared" si="141"/>
        <v>152.62</v>
      </c>
      <c r="H541" s="718">
        <f t="shared" si="142"/>
        <v>284.96605</v>
      </c>
      <c r="I541" s="719"/>
      <c r="J541" s="718">
        <f t="shared" si="143"/>
        <v>134.52404999999999</v>
      </c>
      <c r="K541" s="743">
        <f t="shared" si="144"/>
        <v>152.62</v>
      </c>
      <c r="L541" s="718">
        <f t="shared" si="145"/>
        <v>287.14404999999999</v>
      </c>
      <c r="M541" s="719"/>
      <c r="N541" s="718">
        <f t="shared" si="146"/>
        <v>2.1779999999999973</v>
      </c>
      <c r="O541" s="744">
        <f t="shared" si="147"/>
        <v>7.6430157206446078E-3</v>
      </c>
    </row>
    <row r="542" spans="2:17" x14ac:dyDescent="0.2">
      <c r="B542" s="691">
        <f>IF(D542&lt;&gt;"",COUNTA($D$528:D542),"")</f>
        <v>13</v>
      </c>
      <c r="C542" s="691"/>
      <c r="D542" s="717">
        <v>3</v>
      </c>
      <c r="E542" s="717">
        <v>1485</v>
      </c>
      <c r="F542" s="718">
        <f t="shared" si="140"/>
        <v>188.51907500000002</v>
      </c>
      <c r="G542" s="743">
        <f t="shared" si="141"/>
        <v>228.93</v>
      </c>
      <c r="H542" s="718">
        <f t="shared" si="142"/>
        <v>417.44907499999999</v>
      </c>
      <c r="I542" s="719"/>
      <c r="J542" s="718">
        <f t="shared" si="143"/>
        <v>191.78607499999998</v>
      </c>
      <c r="K542" s="743">
        <f t="shared" si="144"/>
        <v>228.93</v>
      </c>
      <c r="L542" s="718">
        <f t="shared" si="145"/>
        <v>420.71607499999999</v>
      </c>
      <c r="M542" s="719"/>
      <c r="N542" s="718">
        <f t="shared" si="146"/>
        <v>3.2669999999999959</v>
      </c>
      <c r="O542" s="744">
        <f t="shared" si="147"/>
        <v>7.8261042978715334E-3</v>
      </c>
    </row>
    <row r="543" spans="2:17" x14ac:dyDescent="0.2">
      <c r="B543" s="691">
        <f>IF(D543&lt;&gt;"",COUNTA($D$528:D543),"")</f>
        <v>14</v>
      </c>
      <c r="C543" s="691"/>
      <c r="D543" s="717">
        <v>5</v>
      </c>
      <c r="E543" s="717">
        <v>2475</v>
      </c>
      <c r="F543" s="718">
        <f t="shared" si="140"/>
        <v>300.86512500000003</v>
      </c>
      <c r="G543" s="743">
        <f t="shared" si="141"/>
        <v>381.55</v>
      </c>
      <c r="H543" s="718">
        <f t="shared" si="142"/>
        <v>682.41512499999999</v>
      </c>
      <c r="I543" s="719"/>
      <c r="J543" s="718">
        <f t="shared" si="143"/>
        <v>306.31012499999997</v>
      </c>
      <c r="K543" s="743">
        <f t="shared" si="144"/>
        <v>381.55</v>
      </c>
      <c r="L543" s="718">
        <f t="shared" si="145"/>
        <v>687.86012499999993</v>
      </c>
      <c r="M543" s="719"/>
      <c r="N543" s="718">
        <f t="shared" si="146"/>
        <v>5.4449999999999363</v>
      </c>
      <c r="O543" s="744">
        <f t="shared" si="147"/>
        <v>7.9790142400491728E-3</v>
      </c>
    </row>
    <row r="544" spans="2:17" x14ac:dyDescent="0.2">
      <c r="B544" s="691">
        <f>IF(D544&lt;&gt;"",COUNTA($D$528:D544),"")</f>
        <v>15</v>
      </c>
      <c r="C544" s="691"/>
      <c r="D544" s="717">
        <v>10</v>
      </c>
      <c r="E544" s="717">
        <v>4950</v>
      </c>
      <c r="F544" s="718">
        <f t="shared" si="140"/>
        <v>581.73025000000007</v>
      </c>
      <c r="G544" s="743">
        <f t="shared" si="141"/>
        <v>763.09</v>
      </c>
      <c r="H544" s="718">
        <f t="shared" si="142"/>
        <v>1344.8202500000002</v>
      </c>
      <c r="I544" s="719"/>
      <c r="J544" s="718">
        <f t="shared" si="143"/>
        <v>592.62024999999994</v>
      </c>
      <c r="K544" s="743">
        <f t="shared" si="144"/>
        <v>763.09</v>
      </c>
      <c r="L544" s="718">
        <f t="shared" si="145"/>
        <v>1355.7102500000001</v>
      </c>
      <c r="M544" s="719"/>
      <c r="N544" s="718">
        <f t="shared" si="146"/>
        <v>10.889999999999873</v>
      </c>
      <c r="O544" s="744">
        <f t="shared" si="147"/>
        <v>8.0977364818828924E-3</v>
      </c>
      <c r="Q544" s="687" t="s">
        <v>27</v>
      </c>
    </row>
    <row r="545" spans="2:15" x14ac:dyDescent="0.2">
      <c r="B545" s="691">
        <f>IF(D545&lt;&gt;"",COUNTA($D$528:D545),"")</f>
        <v>16</v>
      </c>
      <c r="C545" s="691" t="s">
        <v>627</v>
      </c>
      <c r="D545" s="717">
        <v>6</v>
      </c>
      <c r="E545" s="717">
        <v>2970</v>
      </c>
      <c r="F545" s="718">
        <f t="shared" si="140"/>
        <v>357.03815000000003</v>
      </c>
      <c r="G545" s="743">
        <f t="shared" si="141"/>
        <v>457.86</v>
      </c>
      <c r="H545" s="718">
        <f t="shared" si="142"/>
        <v>814.89814999999999</v>
      </c>
      <c r="I545" s="719"/>
      <c r="J545" s="718">
        <f t="shared" si="143"/>
        <v>363.57214999999997</v>
      </c>
      <c r="K545" s="743">
        <f t="shared" si="144"/>
        <v>457.86</v>
      </c>
      <c r="L545" s="718">
        <f t="shared" si="145"/>
        <v>821.43214999999998</v>
      </c>
      <c r="M545" s="719"/>
      <c r="N545" s="718">
        <f t="shared" si="146"/>
        <v>6.5339999999999918</v>
      </c>
      <c r="O545" s="744">
        <f t="shared" si="147"/>
        <v>8.0181799406465609E-3</v>
      </c>
    </row>
    <row r="546" spans="2:15" ht="15.75" x14ac:dyDescent="0.25">
      <c r="B546" s="691" t="str">
        <f>IF(D546&lt;&gt;"",COUNTA($D$528:D546),"")</f>
        <v/>
      </c>
      <c r="C546" s="691"/>
      <c r="D546" s="731"/>
      <c r="E546" s="731"/>
      <c r="F546" s="732"/>
      <c r="G546" s="732"/>
      <c r="H546" s="732"/>
      <c r="I546" s="733"/>
      <c r="J546" s="732"/>
      <c r="K546" s="732"/>
      <c r="L546" s="732"/>
      <c r="M546" s="733"/>
      <c r="N546" s="732"/>
      <c r="O546" s="745"/>
    </row>
    <row r="547" spans="2:15" x14ac:dyDescent="0.2">
      <c r="B547" s="691">
        <f>IF(D547&lt;&gt;"",COUNTA($D$528:D547),"")</f>
        <v>17</v>
      </c>
      <c r="C547" s="691"/>
      <c r="D547" s="716" t="s">
        <v>654</v>
      </c>
      <c r="E547" s="716">
        <v>625</v>
      </c>
      <c r="F547" s="719"/>
      <c r="G547" s="719"/>
      <c r="H547" s="719"/>
      <c r="I547" s="719"/>
      <c r="J547" s="719"/>
      <c r="K547" s="719"/>
      <c r="L547" s="719"/>
      <c r="M547" s="719"/>
      <c r="N547" s="719"/>
      <c r="O547" s="701"/>
    </row>
    <row r="548" spans="2:15" x14ac:dyDescent="0.2">
      <c r="B548" s="691">
        <f>IF(D548&lt;&gt;"",COUNTA($D$528:D548),"")</f>
        <v>18</v>
      </c>
      <c r="C548" s="691"/>
      <c r="D548" s="717">
        <v>1</v>
      </c>
      <c r="E548" s="717">
        <v>625</v>
      </c>
      <c r="F548" s="718">
        <f t="shared" ref="F548:F553" si="148">$H$558+$D548*SUM($H$559,$H$560)+$E548*(SUM($H$561,$H$563:$H$584)*$F$587)+SUM($H$562:$H$584)*$E548*$F$588</f>
        <v>89.809375000000003</v>
      </c>
      <c r="G548" s="743">
        <f t="shared" ref="G548:G553" si="149">ROUND($H$585*$E548,2)</f>
        <v>96.35</v>
      </c>
      <c r="H548" s="718">
        <f t="shared" ref="H548:H553" si="150">SUM(F548:G548)</f>
        <v>186.15937500000001</v>
      </c>
      <c r="I548" s="719"/>
      <c r="J548" s="718">
        <f t="shared" ref="J548:J553" si="151">$J$558+$D548*SUM($J$559,$J$560)+$E548*(SUM($J$561,$J$563:$J$584)*$F$587)+SUM($J$562:$J$584)*$E548*$F$588</f>
        <v>91.184375000000003</v>
      </c>
      <c r="K548" s="743">
        <f t="shared" ref="K548:K553" si="152">ROUND($J$585*$E548,2)</f>
        <v>96.35</v>
      </c>
      <c r="L548" s="718">
        <f t="shared" ref="L548:L553" si="153">SUM(J548:K548)</f>
        <v>187.53437500000001</v>
      </c>
      <c r="M548" s="719"/>
      <c r="N548" s="718">
        <f t="shared" ref="N548:N553" si="154">+L548-H548</f>
        <v>1.375</v>
      </c>
      <c r="O548" s="744">
        <f t="shared" ref="O548:O553" si="155">+N548/H548</f>
        <v>7.3861442648268452E-3</v>
      </c>
    </row>
    <row r="549" spans="2:15" x14ac:dyDescent="0.2">
      <c r="B549" s="691">
        <f>IF(D549&lt;&gt;"",COUNTA($D$528:D549),"")</f>
        <v>19</v>
      </c>
      <c r="C549" s="691"/>
      <c r="D549" s="717">
        <v>2</v>
      </c>
      <c r="E549" s="717">
        <v>1250</v>
      </c>
      <c r="F549" s="718">
        <f t="shared" si="148"/>
        <v>159.61875000000001</v>
      </c>
      <c r="G549" s="743">
        <f t="shared" si="149"/>
        <v>192.7</v>
      </c>
      <c r="H549" s="718">
        <f t="shared" si="150"/>
        <v>352.31875000000002</v>
      </c>
      <c r="I549" s="719"/>
      <c r="J549" s="718">
        <f t="shared" si="151"/>
        <v>162.36875000000001</v>
      </c>
      <c r="K549" s="743">
        <f t="shared" si="152"/>
        <v>192.7</v>
      </c>
      <c r="L549" s="718">
        <f t="shared" si="153"/>
        <v>355.06875000000002</v>
      </c>
      <c r="M549" s="719"/>
      <c r="N549" s="718">
        <f t="shared" si="154"/>
        <v>2.75</v>
      </c>
      <c r="O549" s="744">
        <f t="shared" si="155"/>
        <v>7.8054318709974979E-3</v>
      </c>
    </row>
    <row r="550" spans="2:15" x14ac:dyDescent="0.2">
      <c r="B550" s="691">
        <f>IF(D550&lt;&gt;"",COUNTA($D$528:D550),"")</f>
        <v>20</v>
      </c>
      <c r="C550" s="691"/>
      <c r="D550" s="717">
        <v>3</v>
      </c>
      <c r="E550" s="717">
        <v>1875</v>
      </c>
      <c r="F550" s="718">
        <f t="shared" si="148"/>
        <v>229.42812500000002</v>
      </c>
      <c r="G550" s="743">
        <f t="shared" si="149"/>
        <v>289.05</v>
      </c>
      <c r="H550" s="718">
        <f t="shared" si="150"/>
        <v>518.47812500000009</v>
      </c>
      <c r="I550" s="719"/>
      <c r="J550" s="718">
        <f t="shared" si="151"/>
        <v>233.55312499999997</v>
      </c>
      <c r="K550" s="743">
        <f t="shared" si="152"/>
        <v>289.05</v>
      </c>
      <c r="L550" s="718">
        <f t="shared" si="153"/>
        <v>522.60312499999998</v>
      </c>
      <c r="M550" s="719"/>
      <c r="N550" s="718">
        <f t="shared" si="154"/>
        <v>4.1249999999998863</v>
      </c>
      <c r="O550" s="744">
        <f t="shared" si="155"/>
        <v>7.9559769276666883E-3</v>
      </c>
    </row>
    <row r="551" spans="2:15" x14ac:dyDescent="0.2">
      <c r="B551" s="691">
        <f>IF(D551&lt;&gt;"",COUNTA($D$528:D551),"")</f>
        <v>21</v>
      </c>
      <c r="C551" s="691"/>
      <c r="D551" s="717">
        <v>5</v>
      </c>
      <c r="E551" s="717">
        <v>3125</v>
      </c>
      <c r="F551" s="718">
        <f t="shared" si="148"/>
        <v>369.046875</v>
      </c>
      <c r="G551" s="743">
        <f t="shared" si="149"/>
        <v>481.75</v>
      </c>
      <c r="H551" s="718">
        <f t="shared" si="150"/>
        <v>850.796875</v>
      </c>
      <c r="I551" s="719"/>
      <c r="J551" s="718">
        <f t="shared" si="151"/>
        <v>375.921875</v>
      </c>
      <c r="K551" s="743">
        <f t="shared" si="152"/>
        <v>481.75</v>
      </c>
      <c r="L551" s="718">
        <f t="shared" si="153"/>
        <v>857.671875</v>
      </c>
      <c r="M551" s="719"/>
      <c r="N551" s="718">
        <f t="shared" si="154"/>
        <v>6.875</v>
      </c>
      <c r="O551" s="744">
        <f t="shared" si="155"/>
        <v>8.0806596756717048E-3</v>
      </c>
    </row>
    <row r="552" spans="2:15" x14ac:dyDescent="0.2">
      <c r="B552" s="691">
        <f>IF(D552&lt;&gt;"",COUNTA($D$528:D552),"")</f>
        <v>22</v>
      </c>
      <c r="C552" s="691"/>
      <c r="D552" s="717">
        <v>10</v>
      </c>
      <c r="E552" s="717">
        <v>6250</v>
      </c>
      <c r="F552" s="718">
        <f t="shared" si="148"/>
        <v>718.09375</v>
      </c>
      <c r="G552" s="743">
        <f t="shared" si="149"/>
        <v>963.5</v>
      </c>
      <c r="H552" s="718">
        <f t="shared" si="150"/>
        <v>1681.59375</v>
      </c>
      <c r="I552" s="719"/>
      <c r="J552" s="718">
        <f t="shared" si="151"/>
        <v>731.84375</v>
      </c>
      <c r="K552" s="743">
        <f t="shared" si="152"/>
        <v>963.5</v>
      </c>
      <c r="L552" s="718">
        <f t="shared" si="153"/>
        <v>1695.34375</v>
      </c>
      <c r="M552" s="719"/>
      <c r="N552" s="718">
        <f t="shared" si="154"/>
        <v>13.75</v>
      </c>
      <c r="O552" s="744">
        <f t="shared" si="155"/>
        <v>8.1767668320603601E-3</v>
      </c>
    </row>
    <row r="553" spans="2:15" x14ac:dyDescent="0.2">
      <c r="B553" s="691">
        <f>IF(D553&lt;&gt;"",COUNTA($D$528:D553),"")</f>
        <v>23</v>
      </c>
      <c r="C553" s="691" t="s">
        <v>627</v>
      </c>
      <c r="D553" s="717">
        <v>7</v>
      </c>
      <c r="E553" s="717">
        <v>4375</v>
      </c>
      <c r="F553" s="718">
        <f t="shared" si="148"/>
        <v>508.66562499999998</v>
      </c>
      <c r="G553" s="743">
        <f t="shared" si="149"/>
        <v>674.45</v>
      </c>
      <c r="H553" s="718">
        <f t="shared" si="150"/>
        <v>1183.1156249999999</v>
      </c>
      <c r="I553" s="719"/>
      <c r="J553" s="718">
        <f t="shared" si="151"/>
        <v>518.29062499999986</v>
      </c>
      <c r="K553" s="743">
        <f t="shared" si="152"/>
        <v>674.45</v>
      </c>
      <c r="L553" s="718">
        <f t="shared" si="153"/>
        <v>1192.7406249999999</v>
      </c>
      <c r="M553" s="719"/>
      <c r="N553" s="718">
        <f t="shared" si="154"/>
        <v>9.625</v>
      </c>
      <c r="O553" s="744">
        <f t="shared" si="155"/>
        <v>8.1352995401442699E-3</v>
      </c>
    </row>
    <row r="554" spans="2:15" ht="15.75" x14ac:dyDescent="0.25">
      <c r="B554" s="691" t="str">
        <f>IF(D554&lt;&gt;"",COUNTA($D$528:D554),"")</f>
        <v/>
      </c>
      <c r="C554" s="691"/>
      <c r="D554" s="735"/>
      <c r="E554" s="735"/>
      <c r="F554" s="732"/>
      <c r="G554" s="732"/>
      <c r="H554" s="732"/>
      <c r="I554" s="733"/>
      <c r="J554" s="732"/>
      <c r="K554" s="732"/>
      <c r="L554" s="732"/>
      <c r="M554" s="733"/>
      <c r="N554" s="732"/>
      <c r="O554" s="745"/>
    </row>
    <row r="555" spans="2:15" ht="15.75" x14ac:dyDescent="0.25">
      <c r="B555" s="691" t="str">
        <f>IF(D555&lt;&gt;"",COUNTA($D$528:D555),"")</f>
        <v/>
      </c>
      <c r="C555" s="691"/>
      <c r="D555" s="735"/>
      <c r="E555" s="735"/>
      <c r="F555" s="732"/>
      <c r="G555" s="732"/>
      <c r="H555" s="739"/>
      <c r="I555" s="784"/>
      <c r="J555" s="732"/>
      <c r="K555" s="732"/>
      <c r="L555" s="732"/>
      <c r="M555" s="740"/>
      <c r="N555" s="739"/>
      <c r="O555" s="745"/>
    </row>
    <row r="556" spans="2:15" ht="15.75" x14ac:dyDescent="0.25">
      <c r="B556" s="691">
        <f>IF(D556&lt;&gt;"",COUNTA($D$528:D556),"")</f>
        <v>24</v>
      </c>
      <c r="C556" s="691"/>
      <c r="D556" s="701" t="s">
        <v>27</v>
      </c>
      <c r="E556" s="701"/>
      <c r="F556" s="701"/>
      <c r="G556"/>
      <c r="H556" s="746" t="str">
        <f>$G$28</f>
        <v>2024 Without CVEO</v>
      </c>
      <c r="J556" s="746" t="str">
        <f>$H$28</f>
        <v>2024 With CVEO</v>
      </c>
      <c r="K556" s="719"/>
      <c r="L556" s="701"/>
      <c r="M556"/>
      <c r="N556"/>
      <c r="O556"/>
    </row>
    <row r="557" spans="2:15" ht="17.25" x14ac:dyDescent="0.35">
      <c r="B557" s="691">
        <f>IF(D557&lt;&gt;"",COUNTA($D$528:D557),"")</f>
        <v>25</v>
      </c>
      <c r="C557" s="691"/>
      <c r="D557" s="721" t="s">
        <v>27</v>
      </c>
      <c r="E557" s="721"/>
      <c r="F557" s="701"/>
      <c r="G557"/>
      <c r="H557" s="747" t="s">
        <v>162</v>
      </c>
      <c r="I557" s="747"/>
      <c r="J557" s="747" t="s">
        <v>162</v>
      </c>
      <c r="K557" s="747" t="s">
        <v>626</v>
      </c>
      <c r="L557" s="701"/>
      <c r="M557"/>
      <c r="N557"/>
      <c r="O557"/>
    </row>
    <row r="558" spans="2:15" ht="15.75" x14ac:dyDescent="0.25">
      <c r="B558" s="691">
        <f>IF(D558&lt;&gt;"",COUNTA($D$528:D558),"")</f>
        <v>26</v>
      </c>
      <c r="C558" s="691"/>
      <c r="D558" s="701" t="s">
        <v>141</v>
      </c>
      <c r="E558" s="701"/>
      <c r="F558" s="721"/>
      <c r="G558"/>
      <c r="H558" s="748">
        <v>20</v>
      </c>
      <c r="I558" s="749"/>
      <c r="J558" s="748">
        <v>20</v>
      </c>
      <c r="K558" s="705">
        <f t="shared" ref="K558:K585" si="156">+J558-H558</f>
        <v>0</v>
      </c>
      <c r="L558" s="701"/>
      <c r="M558"/>
      <c r="N558"/>
      <c r="O558" t="s">
        <v>27</v>
      </c>
    </row>
    <row r="559" spans="2:15" ht="15.75" x14ac:dyDescent="0.25">
      <c r="B559" s="691">
        <f>IF(D559&lt;&gt;"",COUNTA($D$528:D559),"")</f>
        <v>27</v>
      </c>
      <c r="C559" s="691"/>
      <c r="D559" s="701" t="s">
        <v>655</v>
      </c>
      <c r="E559" s="701"/>
      <c r="F559" s="721"/>
      <c r="G559"/>
      <c r="H559" s="748">
        <v>4.25</v>
      </c>
      <c r="I559" s="749"/>
      <c r="J559" s="748">
        <v>4.25</v>
      </c>
      <c r="K559" s="705">
        <f t="shared" si="156"/>
        <v>0</v>
      </c>
      <c r="L559" s="701"/>
      <c r="M559"/>
      <c r="N559"/>
      <c r="O559"/>
    </row>
    <row r="560" spans="2:15" ht="15.75" x14ac:dyDescent="0.25">
      <c r="B560" s="691">
        <f>IF(D560&lt;&gt;"",COUNTA($D$528:D560),"")</f>
        <v>28</v>
      </c>
      <c r="C560" s="691"/>
      <c r="D560" s="701" t="s">
        <v>656</v>
      </c>
      <c r="E560" s="701"/>
      <c r="F560" s="721"/>
      <c r="G560"/>
      <c r="H560" s="705">
        <v>0</v>
      </c>
      <c r="I560" s="705"/>
      <c r="J560" s="705">
        <v>0</v>
      </c>
      <c r="K560" s="705">
        <f t="shared" si="156"/>
        <v>0</v>
      </c>
      <c r="L560" s="701"/>
      <c r="M560"/>
      <c r="N560"/>
      <c r="O560"/>
    </row>
    <row r="561" spans="2:15" ht="15.75" x14ac:dyDescent="0.25">
      <c r="B561" s="691">
        <f>IF(D561&lt;&gt;"",COUNTA($D$528:D561),"")</f>
        <v>29</v>
      </c>
      <c r="C561" s="691"/>
      <c r="D561" s="701" t="s">
        <v>658</v>
      </c>
      <c r="E561" s="701"/>
      <c r="F561" s="721"/>
      <c r="G561"/>
      <c r="H561" s="709">
        <v>3.5349999999999999E-2</v>
      </c>
      <c r="I561" s="709"/>
      <c r="J561" s="709">
        <v>3.5349999999999999E-2</v>
      </c>
      <c r="K561" s="709">
        <f t="shared" si="156"/>
        <v>0</v>
      </c>
      <c r="L561" s="701"/>
      <c r="M561"/>
      <c r="N561"/>
      <c r="O561"/>
    </row>
    <row r="562" spans="2:15" ht="15.75" x14ac:dyDescent="0.25">
      <c r="B562" s="691">
        <f>IF(D562&lt;&gt;"",COUNTA($D$528:D562),"")</f>
        <v>30</v>
      </c>
      <c r="C562" s="691"/>
      <c r="D562" s="701" t="s">
        <v>659</v>
      </c>
      <c r="E562" s="701"/>
      <c r="F562" s="721"/>
      <c r="G562"/>
      <c r="H562" s="709">
        <v>2.5649999999999999E-2</v>
      </c>
      <c r="I562" s="709"/>
      <c r="J562" s="709">
        <v>2.5649999999999999E-2</v>
      </c>
      <c r="K562" s="709">
        <f t="shared" si="156"/>
        <v>0</v>
      </c>
      <c r="L562" s="701"/>
      <c r="M562"/>
      <c r="N562"/>
      <c r="O562"/>
    </row>
    <row r="563" spans="2:15" ht="15.75" x14ac:dyDescent="0.25">
      <c r="B563" s="691">
        <f>IF(D563&lt;&gt;"",COUNTA($D$528:D563),"")</f>
        <v>31</v>
      </c>
      <c r="C563" s="691"/>
      <c r="D563" s="701" t="s">
        <v>629</v>
      </c>
      <c r="E563" s="701"/>
      <c r="F563" s="721"/>
      <c r="G563"/>
      <c r="H563" s="709">
        <v>7.5000000000000002E-4</v>
      </c>
      <c r="I563" s="709"/>
      <c r="J563" s="709">
        <v>7.5000000000000002E-4</v>
      </c>
      <c r="K563" s="709">
        <f t="shared" si="156"/>
        <v>0</v>
      </c>
      <c r="L563" s="701"/>
      <c r="M563"/>
      <c r="N563" t="s">
        <v>27</v>
      </c>
      <c r="O563"/>
    </row>
    <row r="564" spans="2:15" ht="15.75" x14ac:dyDescent="0.25">
      <c r="B564" s="691">
        <f>IF(D564&lt;&gt;"",COUNTA($D$528:D564),"")</f>
        <v>32</v>
      </c>
      <c r="C564" s="691"/>
      <c r="D564" s="701" t="s">
        <v>630</v>
      </c>
      <c r="E564" s="701"/>
      <c r="F564" s="721"/>
      <c r="G564"/>
      <c r="H564" s="709">
        <v>4.0000000000000003E-5</v>
      </c>
      <c r="I564" s="709"/>
      <c r="J564" s="709">
        <v>4.0000000000000003E-5</v>
      </c>
      <c r="K564" s="709">
        <f t="shared" si="156"/>
        <v>0</v>
      </c>
      <c r="L564" s="701"/>
      <c r="M564"/>
      <c r="N564"/>
      <c r="O564"/>
    </row>
    <row r="565" spans="2:15" ht="15.75" x14ac:dyDescent="0.25">
      <c r="B565" s="691">
        <f>IF(D565&lt;&gt;"",COUNTA($D$528:D565),"")</f>
        <v>33</v>
      </c>
      <c r="C565" s="691"/>
      <c r="D565" s="701" t="s">
        <v>631</v>
      </c>
      <c r="E565" s="701"/>
      <c r="F565" s="721"/>
      <c r="G565"/>
      <c r="H565" s="709">
        <v>5.8999999999999999E-3</v>
      </c>
      <c r="I565" s="709"/>
      <c r="J565" s="709">
        <v>5.8999999999999999E-3</v>
      </c>
      <c r="K565" s="709">
        <f t="shared" si="156"/>
        <v>0</v>
      </c>
      <c r="L565" s="701"/>
      <c r="M565"/>
      <c r="N565"/>
      <c r="O565"/>
    </row>
    <row r="566" spans="2:15" ht="15.75" x14ac:dyDescent="0.25">
      <c r="B566" s="691">
        <f>IF(D566&lt;&gt;"",COUNTA($D$528:D566),"")</f>
        <v>34</v>
      </c>
      <c r="C566" s="691"/>
      <c r="D566" s="701" t="s">
        <v>632</v>
      </c>
      <c r="E566" s="701"/>
      <c r="F566" s="721"/>
      <c r="G566"/>
      <c r="H566" s="709">
        <v>6.0200000000000002E-3</v>
      </c>
      <c r="I566" s="709"/>
      <c r="J566" s="709">
        <v>6.0200000000000002E-3</v>
      </c>
      <c r="K566" s="709">
        <f t="shared" si="156"/>
        <v>0</v>
      </c>
      <c r="L566" s="701"/>
      <c r="M566"/>
      <c r="N566"/>
      <c r="O566"/>
    </row>
    <row r="567" spans="2:15" ht="15.75" x14ac:dyDescent="0.25">
      <c r="B567" s="691">
        <f>IF(D567&lt;&gt;"",COUNTA($D$528:D567),"")</f>
        <v>35</v>
      </c>
      <c r="C567" s="691"/>
      <c r="D567" s="701" t="s">
        <v>633</v>
      </c>
      <c r="E567" s="701"/>
      <c r="F567" s="721"/>
      <c r="G567"/>
      <c r="H567" s="709">
        <v>5.8E-4</v>
      </c>
      <c r="I567" s="709"/>
      <c r="J567" s="709">
        <v>5.8E-4</v>
      </c>
      <c r="K567" s="709">
        <f t="shared" si="156"/>
        <v>0</v>
      </c>
      <c r="L567" s="701"/>
      <c r="M567"/>
      <c r="N567"/>
      <c r="O567"/>
    </row>
    <row r="568" spans="2:15" ht="15.75" x14ac:dyDescent="0.25">
      <c r="B568" s="691">
        <f>IF(D568&lt;&gt;"",COUNTA($D$528:D568),"")</f>
        <v>36</v>
      </c>
      <c r="C568" s="691"/>
      <c r="D568" s="701" t="s">
        <v>634</v>
      </c>
      <c r="E568" s="701"/>
      <c r="F568" s="721"/>
      <c r="G568"/>
      <c r="H568" s="709">
        <v>1.197E-2</v>
      </c>
      <c r="I568" s="709"/>
      <c r="J568" s="709">
        <v>1.197E-2</v>
      </c>
      <c r="K568" s="709">
        <f t="shared" si="156"/>
        <v>0</v>
      </c>
      <c r="L568" s="701"/>
      <c r="M568"/>
      <c r="N568"/>
      <c r="O568"/>
    </row>
    <row r="569" spans="2:15" ht="15.75" x14ac:dyDescent="0.25">
      <c r="B569" s="691">
        <f>IF(D569&lt;&gt;"",COUNTA($D$528:D569),"")</f>
        <v>37</v>
      </c>
      <c r="C569" s="691"/>
      <c r="D569" s="701" t="s">
        <v>635</v>
      </c>
      <c r="E569" s="701"/>
      <c r="F569" s="721"/>
      <c r="G569"/>
      <c r="H569" s="709">
        <v>-1.9300000000000001E-3</v>
      </c>
      <c r="I569" s="709"/>
      <c r="J569" s="709">
        <v>-1.9300000000000001E-3</v>
      </c>
      <c r="K569" s="709">
        <f t="shared" si="156"/>
        <v>0</v>
      </c>
      <c r="L569" s="701"/>
      <c r="M569"/>
      <c r="N569"/>
      <c r="O569"/>
    </row>
    <row r="570" spans="2:15" ht="15.75" x14ac:dyDescent="0.25">
      <c r="B570" s="691">
        <f>IF(D570&lt;&gt;"",COUNTA($D$528:D570),"")</f>
        <v>38</v>
      </c>
      <c r="C570" s="691"/>
      <c r="D570" s="701" t="s">
        <v>636</v>
      </c>
      <c r="E570" s="701"/>
      <c r="F570" s="721"/>
      <c r="G570"/>
      <c r="H570" s="709">
        <v>4.0000000000000003E-5</v>
      </c>
      <c r="I570" s="709"/>
      <c r="J570" s="709">
        <v>4.0000000000000003E-5</v>
      </c>
      <c r="K570" s="709">
        <f t="shared" si="156"/>
        <v>0</v>
      </c>
      <c r="L570" s="701"/>
      <c r="M570"/>
      <c r="N570"/>
      <c r="O570"/>
    </row>
    <row r="571" spans="2:15" ht="15.75" x14ac:dyDescent="0.25">
      <c r="B571" s="691">
        <f>IF(D571&lt;&gt;"",COUNTA($D$528:D571),"")</f>
        <v>39</v>
      </c>
      <c r="C571" s="691"/>
      <c r="D571" s="701" t="s">
        <v>637</v>
      </c>
      <c r="E571" s="701"/>
      <c r="F571" s="721"/>
      <c r="G571"/>
      <c r="H571" s="709">
        <v>4.8900000000000002E-3</v>
      </c>
      <c r="I571" s="709"/>
      <c r="J571" s="709">
        <v>4.8900000000000002E-3</v>
      </c>
      <c r="K571" s="709">
        <f t="shared" si="156"/>
        <v>0</v>
      </c>
      <c r="L571" s="701"/>
      <c r="M571"/>
      <c r="N571"/>
      <c r="O571"/>
    </row>
    <row r="572" spans="2:15" ht="15.75" x14ac:dyDescent="0.25">
      <c r="B572" s="691">
        <f>IF(D572&lt;&gt;"",COUNTA($D$528:D572),"")</f>
        <v>40</v>
      </c>
      <c r="C572" s="691"/>
      <c r="D572" s="701" t="s">
        <v>638</v>
      </c>
      <c r="E572" s="701"/>
      <c r="F572" s="721"/>
      <c r="G572"/>
      <c r="H572" s="709">
        <v>0</v>
      </c>
      <c r="I572" s="709"/>
      <c r="J572" s="709">
        <v>0</v>
      </c>
      <c r="K572" s="709">
        <f t="shared" si="156"/>
        <v>0</v>
      </c>
      <c r="L572" s="701"/>
      <c r="M572"/>
      <c r="N572"/>
      <c r="O572"/>
    </row>
    <row r="573" spans="2:15" ht="15.75" x14ac:dyDescent="0.25">
      <c r="B573" s="691">
        <f>IF(D573&lt;&gt;"",COUNTA($D$528:D573),"")</f>
        <v>41</v>
      </c>
      <c r="C573" s="691"/>
      <c r="D573" s="701" t="s">
        <v>639</v>
      </c>
      <c r="E573" s="701"/>
      <c r="F573" s="721"/>
      <c r="G573"/>
      <c r="H573" s="709">
        <v>-3.4000000000000002E-4</v>
      </c>
      <c r="I573" s="709"/>
      <c r="J573" s="709">
        <v>-3.4000000000000002E-4</v>
      </c>
      <c r="K573" s="709">
        <f t="shared" si="156"/>
        <v>0</v>
      </c>
      <c r="L573" s="701"/>
      <c r="M573"/>
      <c r="N573"/>
      <c r="O573"/>
    </row>
    <row r="574" spans="2:15" ht="15.75" x14ac:dyDescent="0.25">
      <c r="B574" s="691">
        <f>IF(D574&lt;&gt;"",COUNTA($D$528:D574),"")</f>
        <v>42</v>
      </c>
      <c r="C574" s="691"/>
      <c r="D574" s="701" t="s">
        <v>640</v>
      </c>
      <c r="E574" s="701"/>
      <c r="F574" s="721"/>
      <c r="G574"/>
      <c r="H574" s="709">
        <v>1.0000000000000001E-5</v>
      </c>
      <c r="I574" s="709"/>
      <c r="J574" s="709">
        <v>1.0000000000000001E-5</v>
      </c>
      <c r="K574" s="709">
        <f t="shared" si="156"/>
        <v>0</v>
      </c>
      <c r="L574" s="701"/>
      <c r="M574"/>
      <c r="N574"/>
      <c r="O574"/>
    </row>
    <row r="575" spans="2:15" ht="15.75" x14ac:dyDescent="0.25">
      <c r="B575" s="691">
        <f>IF(D575&lt;&gt;"",COUNTA($D$528:D575),"")</f>
        <v>43</v>
      </c>
      <c r="C575" s="691"/>
      <c r="D575" s="701" t="s">
        <v>641</v>
      </c>
      <c r="E575"/>
      <c r="F575"/>
      <c r="G575"/>
      <c r="H575" s="709">
        <v>-3.6999999999999999E-4</v>
      </c>
      <c r="I575" s="709"/>
      <c r="J575" s="709">
        <v>-3.6999999999999999E-4</v>
      </c>
      <c r="K575" s="709">
        <f t="shared" si="156"/>
        <v>0</v>
      </c>
      <c r="L575" s="701"/>
      <c r="M575"/>
      <c r="N575"/>
      <c r="O575"/>
    </row>
    <row r="576" spans="2:15" ht="15.75" x14ac:dyDescent="0.25">
      <c r="B576" s="691">
        <f>IF(D576&lt;&gt;"",COUNTA($D$528:D576),"")</f>
        <v>44</v>
      </c>
      <c r="C576" s="691"/>
      <c r="D576" s="701" t="s">
        <v>642</v>
      </c>
      <c r="E576" s="701"/>
      <c r="F576" s="721"/>
      <c r="G576"/>
      <c r="H576" s="709">
        <v>1.2999999999999999E-3</v>
      </c>
      <c r="I576" s="709"/>
      <c r="J576" s="709">
        <v>1.2999999999999999E-3</v>
      </c>
      <c r="K576" s="709">
        <f t="shared" si="156"/>
        <v>0</v>
      </c>
      <c r="L576" s="701"/>
      <c r="M576"/>
      <c r="N576"/>
      <c r="O576"/>
    </row>
    <row r="577" spans="2:15" ht="15.75" x14ac:dyDescent="0.25">
      <c r="B577" s="691">
        <f>IF(D577&lt;&gt;"",COUNTA($D$528:D577),"")</f>
        <v>45</v>
      </c>
      <c r="C577" s="691"/>
      <c r="D577" s="701" t="s">
        <v>643</v>
      </c>
      <c r="E577" s="701"/>
      <c r="F577" s="721"/>
      <c r="G577"/>
      <c r="H577" s="709">
        <v>-1.33E-3</v>
      </c>
      <c r="I577" s="709"/>
      <c r="J577" s="709">
        <v>-1.33E-3</v>
      </c>
      <c r="K577" s="709">
        <f t="shared" si="156"/>
        <v>0</v>
      </c>
      <c r="L577" s="701"/>
      <c r="M577"/>
      <c r="N577"/>
      <c r="O577"/>
    </row>
    <row r="578" spans="2:15" ht="15.75" x14ac:dyDescent="0.25">
      <c r="B578" s="691">
        <f>IF(D578&lt;&gt;"",COUNTA($D$528:D578),"")</f>
        <v>46</v>
      </c>
      <c r="C578" s="691"/>
      <c r="D578" s="701" t="s">
        <v>644</v>
      </c>
      <c r="E578" s="701"/>
      <c r="F578" s="721"/>
      <c r="G578"/>
      <c r="H578" s="709">
        <v>1.34E-3</v>
      </c>
      <c r="I578" s="709"/>
      <c r="J578" s="709">
        <v>1.34E-3</v>
      </c>
      <c r="K578" s="709">
        <f t="shared" si="156"/>
        <v>0</v>
      </c>
      <c r="L578" s="701"/>
      <c r="M578"/>
      <c r="N578"/>
      <c r="O578"/>
    </row>
    <row r="579" spans="2:15" ht="15.75" x14ac:dyDescent="0.25">
      <c r="B579" s="691">
        <f>IF(D579&lt;&gt;"",COUNTA($D$528:D579),"")</f>
        <v>47</v>
      </c>
      <c r="C579" s="691"/>
      <c r="D579" s="701" t="s">
        <v>645</v>
      </c>
      <c r="E579" s="701"/>
      <c r="F579" s="721"/>
      <c r="G579"/>
      <c r="H579" s="709">
        <v>2.2200000000000002E-3</v>
      </c>
      <c r="I579" s="709"/>
      <c r="J579" s="709">
        <v>2.2200000000000002E-3</v>
      </c>
      <c r="K579" s="709">
        <f t="shared" si="156"/>
        <v>0</v>
      </c>
      <c r="L579" s="701"/>
      <c r="M579"/>
      <c r="N579"/>
      <c r="O579"/>
    </row>
    <row r="580" spans="2:15" ht="15.75" x14ac:dyDescent="0.25">
      <c r="B580" s="691">
        <f>IF(D580&lt;&gt;"",COUNTA($D$528:D580),"")</f>
        <v>48</v>
      </c>
      <c r="C580" s="691"/>
      <c r="D580" s="701" t="s">
        <v>646</v>
      </c>
      <c r="E580" s="701"/>
      <c r="F580" s="721"/>
      <c r="G580"/>
      <c r="H580" s="709">
        <v>-3.6999999999999999E-4</v>
      </c>
      <c r="I580" s="709"/>
      <c r="J580" s="709">
        <v>-3.6999999999999999E-4</v>
      </c>
      <c r="K580" s="709">
        <f t="shared" si="156"/>
        <v>0</v>
      </c>
      <c r="L580" s="701"/>
      <c r="M580"/>
      <c r="N580"/>
      <c r="O580"/>
    </row>
    <row r="581" spans="2:15" ht="15.75" x14ac:dyDescent="0.25">
      <c r="B581" s="691">
        <f>IF(D581&lt;&gt;"",COUNTA($D$528:D581),"")</f>
        <v>49</v>
      </c>
      <c r="C581" s="691"/>
      <c r="D581" s="701" t="s">
        <v>647</v>
      </c>
      <c r="E581" s="701"/>
      <c r="F581" s="721"/>
      <c r="G581"/>
      <c r="H581" s="709">
        <v>3.1009999999999999E-2</v>
      </c>
      <c r="I581" s="709"/>
      <c r="J581" s="709">
        <v>3.1009999999999999E-2</v>
      </c>
      <c r="K581" s="709">
        <f t="shared" si="156"/>
        <v>0</v>
      </c>
      <c r="L581" s="701"/>
      <c r="M581"/>
      <c r="N581"/>
      <c r="O581"/>
    </row>
    <row r="582" spans="2:15" ht="15.75" x14ac:dyDescent="0.25">
      <c r="B582" s="691">
        <f>IF(D582&lt;&gt;"",COUNTA($D$528:D582),"")</f>
        <v>50</v>
      </c>
      <c r="C582" s="691"/>
      <c r="D582" s="701" t="s">
        <v>648</v>
      </c>
      <c r="E582" s="701"/>
      <c r="F582" s="721"/>
      <c r="G582"/>
      <c r="H582" s="709">
        <f>EES!$G$22</f>
        <v>1.209E-2</v>
      </c>
      <c r="I582" s="709"/>
      <c r="J582" s="709">
        <f>EES!$K$22</f>
        <v>1.4290000000000001E-2</v>
      </c>
      <c r="K582" s="709">
        <f t="shared" si="156"/>
        <v>2.2000000000000006E-3</v>
      </c>
      <c r="L582" s="701"/>
      <c r="M582"/>
      <c r="N582"/>
      <c r="O582"/>
    </row>
    <row r="583" spans="2:15" ht="15.75" x14ac:dyDescent="0.25">
      <c r="B583" s="691">
        <f>IF(D583&lt;&gt;"",COUNTA($D$528:D583),"")</f>
        <v>51</v>
      </c>
      <c r="C583" s="691"/>
      <c r="D583" s="701" t="s">
        <v>649</v>
      </c>
      <c r="E583" s="701"/>
      <c r="F583" s="721"/>
      <c r="G583"/>
      <c r="H583" s="709">
        <v>2.5000000000000001E-3</v>
      </c>
      <c r="I583" s="709"/>
      <c r="J583" s="709">
        <v>2.5000000000000001E-3</v>
      </c>
      <c r="K583" s="709">
        <f t="shared" si="156"/>
        <v>0</v>
      </c>
      <c r="L583" s="701"/>
      <c r="M583"/>
      <c r="N583"/>
      <c r="O583"/>
    </row>
    <row r="584" spans="2:15" ht="15.75" x14ac:dyDescent="0.25">
      <c r="B584" s="691">
        <f>IF(D584&lt;&gt;"",COUNTA($D$528:D584),"")</f>
        <v>52</v>
      </c>
      <c r="C584" s="691"/>
      <c r="D584" s="701" t="s">
        <v>650</v>
      </c>
      <c r="E584" s="701"/>
      <c r="F584" s="721"/>
      <c r="G584"/>
      <c r="H584" s="709">
        <v>5.0000000000000001E-4</v>
      </c>
      <c r="I584" s="709"/>
      <c r="J584" s="709">
        <v>5.0000000000000001E-4</v>
      </c>
      <c r="K584" s="709">
        <f t="shared" si="156"/>
        <v>0</v>
      </c>
      <c r="L584" s="701"/>
      <c r="M584"/>
      <c r="N584"/>
      <c r="O584"/>
    </row>
    <row r="585" spans="2:15" ht="15.75" x14ac:dyDescent="0.25">
      <c r="B585" s="691">
        <f>IF(D585&lt;&gt;"",COUNTA($D$528:D585),"")</f>
        <v>53</v>
      </c>
      <c r="C585" s="691"/>
      <c r="D585" s="701" t="s">
        <v>651</v>
      </c>
      <c r="E585" s="701"/>
      <c r="F585" s="721"/>
      <c r="G585"/>
      <c r="H585" s="709">
        <v>0.15415999999999999</v>
      </c>
      <c r="I585" s="709"/>
      <c r="J585" s="709">
        <v>0.15415999999999999</v>
      </c>
      <c r="K585" s="709">
        <f t="shared" si="156"/>
        <v>0</v>
      </c>
      <c r="L585" s="701"/>
      <c r="M585"/>
      <c r="N585"/>
      <c r="O585"/>
    </row>
    <row r="586" spans="2:15" x14ac:dyDescent="0.2">
      <c r="B586" s="691" t="str">
        <f>IF(D586&lt;&gt;"",COUNTA($D$528:D586),"")</f>
        <v/>
      </c>
    </row>
    <row r="587" spans="2:15" ht="15.75" x14ac:dyDescent="0.25">
      <c r="B587" s="691">
        <f>IF(D587&lt;&gt;"",COUNTA($D$528:D587),"")</f>
        <v>54</v>
      </c>
      <c r="C587" s="691"/>
      <c r="D587" s="750" t="s">
        <v>660</v>
      </c>
      <c r="E587"/>
      <c r="F587" s="787">
        <v>0.25</v>
      </c>
    </row>
    <row r="588" spans="2:15" ht="15.75" x14ac:dyDescent="0.25">
      <c r="B588" s="691">
        <f>IF(D588&lt;&gt;"",COUNTA($D$528:D588),"")</f>
        <v>55</v>
      </c>
      <c r="C588" s="691"/>
      <c r="D588" s="750" t="s">
        <v>661</v>
      </c>
      <c r="E588"/>
      <c r="F588" s="787">
        <v>0.75</v>
      </c>
    </row>
    <row r="591" spans="2:15" x14ac:dyDescent="0.2">
      <c r="D591" s="687" t="s">
        <v>27</v>
      </c>
    </row>
  </sheetData>
  <mergeCells count="70">
    <mergeCell ref="B521:O521"/>
    <mergeCell ref="B522:O522"/>
    <mergeCell ref="B523:O523"/>
    <mergeCell ref="B525:O525"/>
    <mergeCell ref="F528:H528"/>
    <mergeCell ref="J528:L528"/>
    <mergeCell ref="N528:O528"/>
    <mergeCell ref="B474:O474"/>
    <mergeCell ref="B475:O475"/>
    <mergeCell ref="B476:O476"/>
    <mergeCell ref="B478:O478"/>
    <mergeCell ref="F481:H481"/>
    <mergeCell ref="J481:L481"/>
    <mergeCell ref="N481:O481"/>
    <mergeCell ref="B408:O408"/>
    <mergeCell ref="B409:O409"/>
    <mergeCell ref="B410:O410"/>
    <mergeCell ref="B412:O412"/>
    <mergeCell ref="F415:H415"/>
    <mergeCell ref="J415:L415"/>
    <mergeCell ref="N415:O415"/>
    <mergeCell ref="B343:O343"/>
    <mergeCell ref="B344:O344"/>
    <mergeCell ref="B345:O345"/>
    <mergeCell ref="B347:O347"/>
    <mergeCell ref="F350:H350"/>
    <mergeCell ref="J350:L350"/>
    <mergeCell ref="N350:O350"/>
    <mergeCell ref="B272:O272"/>
    <mergeCell ref="B273:O273"/>
    <mergeCell ref="B274:O274"/>
    <mergeCell ref="B276:O276"/>
    <mergeCell ref="F279:H279"/>
    <mergeCell ref="J279:L279"/>
    <mergeCell ref="N279:O279"/>
    <mergeCell ref="B221:O221"/>
    <mergeCell ref="B222:O222"/>
    <mergeCell ref="B223:O223"/>
    <mergeCell ref="B225:O225"/>
    <mergeCell ref="F228:H228"/>
    <mergeCell ref="J228:L228"/>
    <mergeCell ref="N228:O228"/>
    <mergeCell ref="B166:O166"/>
    <mergeCell ref="B167:O167"/>
    <mergeCell ref="B168:O168"/>
    <mergeCell ref="B170:O170"/>
    <mergeCell ref="F173:H173"/>
    <mergeCell ref="J173:L173"/>
    <mergeCell ref="N173:O173"/>
    <mergeCell ref="B112:O112"/>
    <mergeCell ref="B113:O113"/>
    <mergeCell ref="B114:O114"/>
    <mergeCell ref="B116:O116"/>
    <mergeCell ref="F119:H119"/>
    <mergeCell ref="J119:L119"/>
    <mergeCell ref="N119:O119"/>
    <mergeCell ref="B57:O57"/>
    <mergeCell ref="B58:O58"/>
    <mergeCell ref="B59:O59"/>
    <mergeCell ref="B61:O61"/>
    <mergeCell ref="F64:H64"/>
    <mergeCell ref="J64:L64"/>
    <mergeCell ref="N64:O64"/>
    <mergeCell ref="B3:O3"/>
    <mergeCell ref="B4:O4"/>
    <mergeCell ref="B5:O5"/>
    <mergeCell ref="B7:O7"/>
    <mergeCell ref="F10:H10"/>
    <mergeCell ref="J10:L10"/>
    <mergeCell ref="N10:O10"/>
  </mergeCells>
  <pageMargins left="0.7" right="0.7" top="0.75" bottom="0.75" header="0.3" footer="0.3"/>
  <pageSetup scale="54" orientation="portrait" r:id="rId1"/>
  <rowBreaks count="17" manualBreakCount="17">
    <brk id="55" max="15" man="1"/>
    <brk id="110" max="15" man="1"/>
    <brk id="164" max="15" man="1"/>
    <brk id="219" max="15" man="1"/>
    <brk id="270" max="15" man="1"/>
    <brk id="341" max="15" man="1"/>
    <brk id="406" max="15" man="1"/>
    <brk id="472" max="15" man="1"/>
    <brk id="519" max="15" man="1"/>
    <brk id="645" max="14" man="1"/>
    <brk id="706" max="14" man="1"/>
    <brk id="764" max="14" man="1"/>
    <brk id="822" max="14" man="1"/>
    <brk id="884" max="14" man="1"/>
    <brk id="946" max="14" man="1"/>
    <brk id="1008" max="14" man="1"/>
    <brk id="1070"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16383467D24D419A9E3D7EDD6A6740" ma:contentTypeVersion="19" ma:contentTypeDescription="Create a new document." ma:contentTypeScope="" ma:versionID="1d073684c4fc520d2f8ad291f0425524">
  <xsd:schema xmlns:xsd="http://www.w3.org/2001/XMLSchema" xmlns:xs="http://www.w3.org/2001/XMLSchema" xmlns:p="http://schemas.microsoft.com/office/2006/metadata/properties" xmlns:ns2="c20a850e-c062-459c-a12a-d2c0275d2d50" xmlns:ns3="b6fb2d50-eb25-4da7-9061-3663c5911224" targetNamespace="http://schemas.microsoft.com/office/2006/metadata/properties" ma:root="true" ma:fieldsID="ec80eeaa15e999c2c4e7b89c6176be6f" ns2:_="" ns3:_="">
    <xsd:import namespace="c20a850e-c062-459c-a12a-d2c0275d2d50"/>
    <xsd:import namespace="b6fb2d50-eb25-4da7-9061-3663c591122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DateTime" minOccurs="0"/>
                <xsd:element ref="ns2:lcf76f155ced4ddcb4097134ff3c332f" minOccurs="0"/>
                <xsd:element ref="ns3:TaxCatchAll" minOccurs="0"/>
                <xsd:element ref="ns2:Categor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a850e-c062-459c-a12a-d2c0275d2d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DateTime" ma:index="20" nillable="true" ma:displayName="Date &amp; Time" ma:format="DateTime" ma:internalName="DateTime">
      <xsd:simpleType>
        <xsd:restriction base="dms:DateTim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7c7d9e-f5e4-4134-85ad-bb804a7842da" ma:termSetId="09814cd3-568e-fe90-9814-8d621ff8fb84" ma:anchorId="fba54fb3-c3e1-fe81-a776-ca4b69148c4d" ma:open="true" ma:isKeyword="false">
      <xsd:complexType>
        <xsd:sequence>
          <xsd:element ref="pc:Terms" minOccurs="0" maxOccurs="1"/>
        </xsd:sequence>
      </xsd:complexType>
    </xsd:element>
    <xsd:element name="Category" ma:index="24" nillable="true" ma:displayName="Category" ma:format="Dropdown" ma:internalName="Category">
      <xsd:complexType>
        <xsd:complexContent>
          <xsd:extension base="dms:MultiChoiceFillIn">
            <xsd:sequence>
              <xsd:element name="Value" maxOccurs="unbounded" minOccurs="0" nillable="true">
                <xsd:simpleType>
                  <xsd:union memberTypes="dms:Text">
                    <xsd:simpleType>
                      <xsd:restriction base="dms:Choice">
                        <xsd:enumeration value="Important"/>
                        <xsd:enumeration value="Follow Up"/>
                        <xsd:enumeration value="Other"/>
                      </xsd:restriction>
                    </xsd:simpleType>
                  </xsd:union>
                </xsd:simpleType>
              </xsd:element>
            </xsd:sequence>
          </xsd:extension>
        </xsd:complexContent>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b2d50-eb25-4da7-9061-3663c591122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5d9449e-aab7-408b-b5b3-255fb79e96fc}" ma:internalName="TaxCatchAll" ma:showField="CatchAllData" ma:web="b6fb2d50-eb25-4da7-9061-3663c59112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0a850e-c062-459c-a12a-d2c0275d2d50">
      <Terms xmlns="http://schemas.microsoft.com/office/infopath/2007/PartnerControls"/>
    </lcf76f155ced4ddcb4097134ff3c332f>
    <Category xmlns="c20a850e-c062-459c-a12a-d2c0275d2d50" xsi:nil="true"/>
    <TaxCatchAll xmlns="b6fb2d50-eb25-4da7-9061-3663c5911224" xsi:nil="true"/>
    <DateTime xmlns="c20a850e-c062-459c-a12a-d2c0275d2d50" xsi:nil="true"/>
  </documentManagement>
</p:properties>
</file>

<file path=customXml/itemProps1.xml><?xml version="1.0" encoding="utf-8"?>
<ds:datastoreItem xmlns:ds="http://schemas.openxmlformats.org/officeDocument/2006/customXml" ds:itemID="{17A0E937-65D2-4168-9FA8-F30D28512A8D}">
  <ds:schemaRefs>
    <ds:schemaRef ds:uri="http://schemas.microsoft.com/sharepoint/v3/contenttype/forms"/>
  </ds:schemaRefs>
</ds:datastoreItem>
</file>

<file path=customXml/itemProps2.xml><?xml version="1.0" encoding="utf-8"?>
<ds:datastoreItem xmlns:ds="http://schemas.openxmlformats.org/officeDocument/2006/customXml" ds:itemID="{7CF15CAD-D90E-4BBA-B52B-E0F8EC6DECE1}"/>
</file>

<file path=customXml/itemProps3.xml><?xml version="1.0" encoding="utf-8"?>
<ds:datastoreItem xmlns:ds="http://schemas.openxmlformats.org/officeDocument/2006/customXml" ds:itemID="{6439DA00-E261-4887-BEDD-A09DF148D784}">
  <ds:schemaRefs>
    <ds:schemaRef ds:uri="http://schemas.microsoft.com/office/2006/documentManagement/types"/>
    <ds:schemaRef ds:uri="http://schemas.openxmlformats.org/package/2006/metadata/core-properties"/>
    <ds:schemaRef ds:uri="d34b5283-6220-4fbb-abe4-8aa43b14f440"/>
    <ds:schemaRef ds:uri="http://purl.org/dc/terms/"/>
    <ds:schemaRef ds:uri="http://purl.org/dc/elements/1.1/"/>
    <ds:schemaRef ds:uri="http://schemas.microsoft.com/office/2006/metadata/properties"/>
    <ds:schemaRef ds:uri="http://www.w3.org/XML/1998/namespace"/>
    <ds:schemaRef ds:uri="http://schemas.microsoft.com/office/infopath/2007/PartnerControls"/>
    <ds:schemaRef ds:uri="8d57aef3-7a68-4929-9319-34c36a6c1cd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35</vt:i4>
      </vt:variant>
    </vt:vector>
  </HeadingPairs>
  <TitlesOfParts>
    <vt:vector size="59" baseType="lpstr">
      <vt:lpstr>Overview</vt:lpstr>
      <vt:lpstr>Inputs</vt:lpstr>
      <vt:lpstr>Outputs-&gt;</vt:lpstr>
      <vt:lpstr>Summary</vt:lpstr>
      <vt:lpstr>Results</vt:lpstr>
      <vt:lpstr>Variances</vt:lpstr>
      <vt:lpstr>EES</vt:lpstr>
      <vt:lpstr>BillsSummary</vt:lpstr>
      <vt:lpstr>BillsDetail</vt:lpstr>
      <vt:lpstr>ParticipantBills</vt:lpstr>
      <vt:lpstr>Batteries</vt:lpstr>
      <vt:lpstr>Calculations-&gt;</vt:lpstr>
      <vt:lpstr>Annual</vt:lpstr>
      <vt:lpstr>Monthly</vt:lpstr>
      <vt:lpstr>Budget</vt:lpstr>
      <vt:lpstr>HeatPumps</vt:lpstr>
      <vt:lpstr>HEATLoan</vt:lpstr>
      <vt:lpstr>Payback</vt:lpstr>
      <vt:lpstr>LI Subsidy</vt:lpstr>
      <vt:lpstr>LI%</vt:lpstr>
      <vt:lpstr>APS</vt:lpstr>
      <vt:lpstr>RECs</vt:lpstr>
      <vt:lpstr>Sales</vt:lpstr>
      <vt:lpstr>Wholesale</vt:lpstr>
      <vt:lpstr>Annual!Print_Area</vt:lpstr>
      <vt:lpstr>APS!Print_Area</vt:lpstr>
      <vt:lpstr>Batteries!Print_Area</vt:lpstr>
      <vt:lpstr>BillsDetail!Print_Area</vt:lpstr>
      <vt:lpstr>BillsSummary!Print_Area</vt:lpstr>
      <vt:lpstr>Budget!Print_Area</vt:lpstr>
      <vt:lpstr>EES!Print_Area</vt:lpstr>
      <vt:lpstr>HEATLoan!Print_Area</vt:lpstr>
      <vt:lpstr>HeatPumps!Print_Area</vt:lpstr>
      <vt:lpstr>Inputs!Print_Area</vt:lpstr>
      <vt:lpstr>'LI Subsidy'!Print_Area</vt:lpstr>
      <vt:lpstr>'LI%'!Print_Area</vt:lpstr>
      <vt:lpstr>Monthly!Print_Area</vt:lpstr>
      <vt:lpstr>Overview!Print_Area</vt:lpstr>
      <vt:lpstr>ParticipantBills!Print_Area</vt:lpstr>
      <vt:lpstr>Payback!Print_Area</vt:lpstr>
      <vt:lpstr>RECs!Print_Area</vt:lpstr>
      <vt:lpstr>Results!Print_Area</vt:lpstr>
      <vt:lpstr>Sales!Print_Area</vt:lpstr>
      <vt:lpstr>Summary!Print_Area</vt:lpstr>
      <vt:lpstr>Variances!Print_Area</vt:lpstr>
      <vt:lpstr>Wholesale!Print_Area</vt:lpstr>
      <vt:lpstr>Annual!Print_Titles</vt:lpstr>
      <vt:lpstr>APS!Print_Titles</vt:lpstr>
      <vt:lpstr>Budget!Print_Titles</vt:lpstr>
      <vt:lpstr>HEATLoan!Print_Titles</vt:lpstr>
      <vt:lpstr>HeatPumps!Print_Titles</vt:lpstr>
      <vt:lpstr>Inputs!Print_Titles</vt:lpstr>
      <vt:lpstr>'LI%'!Print_Titles</vt:lpstr>
      <vt:lpstr>Monthly!Print_Titles</vt:lpstr>
      <vt:lpstr>ParticipantBills!Print_Titles</vt:lpstr>
      <vt:lpstr>Sales!Print_Titles</vt:lpstr>
      <vt:lpstr>Variances!Print_Titles</vt:lpstr>
      <vt:lpstr>Wholesale!Print_Titles</vt:lpstr>
      <vt:lpstr>Year1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Brandt</dc:creator>
  <cp:keywords/>
  <dc:description/>
  <cp:lastModifiedBy>Erin Malone</cp:lastModifiedBy>
  <cp:revision/>
  <cp:lastPrinted>2025-08-01T15:13:23Z</cp:lastPrinted>
  <dcterms:created xsi:type="dcterms:W3CDTF">2019-10-16T23:08:18Z</dcterms:created>
  <dcterms:modified xsi:type="dcterms:W3CDTF">2025-08-01T15:16:12Z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0x0101006916383467D24D419A9E3D7EDD6A6740</vt:lpwstr>
  </property>
</Properties>
</file>