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ml.chartshapes+xml"/>
  <Override PartName="/xl/charts/chart13.xml" ContentType="application/vnd.openxmlformats-officedocument.drawingml.chart+xml"/>
  <Override PartName="/xl/drawings/drawing5.xml" ContentType="application/vnd.openxmlformats-officedocument.drawingml.chartshapes+xml"/>
  <Override PartName="/xl/charts/chart14.xml" ContentType="application/vnd.openxmlformats-officedocument.drawingml.chart+xml"/>
  <Override PartName="/xl/drawings/drawing6.xml" ContentType="application/vnd.openxmlformats-officedocument.drawingml.chartshapes+xml"/>
  <Override PartName="/xl/charts/chart15.xml" ContentType="application/vnd.openxmlformats-officedocument.drawingml.chart+xml"/>
  <Override PartName="/xl/drawings/drawing7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70" yWindow="1380" windowWidth="6390" windowHeight="11235" tabRatio="895"/>
  </bookViews>
  <sheets>
    <sheet name="INDEX" sheetId="38" r:id="rId1"/>
    <sheet name="Charts" sheetId="17" r:id="rId2"/>
    <sheet name="UPDATES" sheetId="39" r:id="rId3"/>
    <sheet name="Inputs_AnnualElectric" sheetId="7" r:id="rId4"/>
    <sheet name="S1_BaseRefNGNoHydro" sheetId="1" r:id="rId5"/>
    <sheet name="S2_BaseLowNGNoHydro" sheetId="31" r:id="rId6"/>
    <sheet name="S3_BaseHighNGNoHydro" sheetId="32" r:id="rId7"/>
    <sheet name="S4_BaseRefNGHydro" sheetId="33" r:id="rId8"/>
    <sheet name="S5_LowRefNGNoHydro" sheetId="34" r:id="rId9"/>
    <sheet name="S6_LowLowNGNoHydro" sheetId="35" r:id="rId10"/>
    <sheet name="S7_LowHighNGNoHydro" sheetId="36" r:id="rId11"/>
    <sheet name="S8_LowRefNGHydro" sheetId="37" r:id="rId12"/>
    <sheet name="RefTables" sheetId="2" r:id="rId13"/>
    <sheet name="PriceSpikes" sheetId="9" r:id="rId14"/>
    <sheet name="BalancingMeasures" sheetId="16" r:id="rId15"/>
    <sheet name="Inputs_JanElectric" sheetId="11" r:id="rId16"/>
    <sheet name="Inputs_SupplyCurve" sheetId="12" r:id="rId17"/>
    <sheet name="AEO2014_NEWE_Cons" sheetId="5" r:id="rId18"/>
    <sheet name="AEO2014_NEWE_CO2" sheetId="6" r:id="rId19"/>
  </sheets>
  <definedNames>
    <definedName name="_xlnm.Print_Area" localSheetId="4">S1_BaseRefNGNoHydro!$B$2:$R$63</definedName>
    <definedName name="_xlnm.Print_Area" localSheetId="5">S2_BaseLowNGNoHydro!$B$2:$R$63</definedName>
    <definedName name="_xlnm.Print_Area" localSheetId="6">S3_BaseHighNGNoHydro!$B$2:$R$63</definedName>
    <definedName name="_xlnm.Print_Area" localSheetId="7">S4_BaseRefNGHydro!$B$2:$R$63</definedName>
    <definedName name="_xlnm.Print_Area" localSheetId="8">S5_LowRefNGNoHydro!$B$2:$R$63</definedName>
    <definedName name="_xlnm.Print_Area" localSheetId="9">S6_LowLowNGNoHydro!$B$2:$R$63</definedName>
    <definedName name="_xlnm.Print_Area" localSheetId="10">S7_LowHighNGNoHydro!$B$2:$R$63</definedName>
    <definedName name="_xlnm.Print_Area" localSheetId="11">S8_LowRefNGHydro!$B$2:$R$63</definedName>
    <definedName name="shortton_per_metricton">RefTables!$F$12</definedName>
  </definedNames>
  <calcPr calcId="145621"/>
</workbook>
</file>

<file path=xl/calcChain.xml><?xml version="1.0" encoding="utf-8"?>
<calcChain xmlns="http://schemas.openxmlformats.org/spreadsheetml/2006/main">
  <c r="G87" i="39" l="1"/>
  <c r="G91" i="39"/>
  <c r="T44" i="34" l="1"/>
  <c r="T45" i="34"/>
  <c r="U45" i="34"/>
  <c r="T46" i="34"/>
  <c r="G92" i="39" l="1"/>
  <c r="AC25" i="39" l="1"/>
  <c r="Z25" i="39"/>
  <c r="AC15" i="39"/>
  <c r="AB15" i="39"/>
  <c r="AA15" i="39"/>
  <c r="Z15" i="39"/>
  <c r="AC10" i="39"/>
  <c r="AB10" i="39"/>
  <c r="AA10" i="39"/>
  <c r="Z10" i="39"/>
  <c r="R10" i="39"/>
  <c r="G94" i="39"/>
  <c r="F94" i="39"/>
  <c r="E94" i="39"/>
  <c r="F93" i="39"/>
  <c r="E93" i="39"/>
  <c r="F92" i="39"/>
  <c r="E92" i="39"/>
  <c r="F91" i="39"/>
  <c r="E91" i="39"/>
  <c r="U25" i="39"/>
  <c r="R25" i="39"/>
  <c r="U15" i="39"/>
  <c r="T15" i="39"/>
  <c r="S15" i="39"/>
  <c r="R15" i="39"/>
  <c r="U10" i="39"/>
  <c r="T10" i="39"/>
  <c r="S10" i="39"/>
  <c r="G68" i="39"/>
  <c r="F68" i="39"/>
  <c r="E68" i="39"/>
  <c r="F67" i="39"/>
  <c r="E67" i="39"/>
  <c r="G66" i="39"/>
  <c r="F66" i="39"/>
  <c r="E66" i="39"/>
  <c r="F65" i="39"/>
  <c r="E65" i="39"/>
  <c r="M25" i="39"/>
  <c r="J25" i="39"/>
  <c r="M15" i="39"/>
  <c r="L15" i="39"/>
  <c r="K15" i="39"/>
  <c r="J15" i="39"/>
  <c r="M10" i="39"/>
  <c r="L10" i="39"/>
  <c r="K10" i="39"/>
  <c r="J10" i="39"/>
  <c r="G42" i="39"/>
  <c r="F42" i="39"/>
  <c r="E42" i="39"/>
  <c r="F41" i="39"/>
  <c r="E41" i="39"/>
  <c r="G40" i="39"/>
  <c r="F40" i="39"/>
  <c r="E40" i="39"/>
  <c r="F39" i="39"/>
  <c r="E39" i="39"/>
  <c r="G52" i="39"/>
  <c r="G51" i="39"/>
  <c r="G50" i="39"/>
  <c r="G49" i="39"/>
  <c r="F52" i="39"/>
  <c r="F51" i="39"/>
  <c r="F50" i="39"/>
  <c r="F49" i="39"/>
  <c r="E52" i="39"/>
  <c r="E51" i="39"/>
  <c r="E50" i="39"/>
  <c r="E49" i="39"/>
  <c r="G84" i="39"/>
  <c r="G88" i="39" s="1"/>
  <c r="G82" i="39"/>
  <c r="G81" i="39"/>
  <c r="G80" i="39"/>
  <c r="G79" i="39"/>
  <c r="G78" i="39"/>
  <c r="G77" i="39"/>
  <c r="G85" i="39" s="1"/>
  <c r="G89" i="39" s="1"/>
  <c r="G93" i="39" s="1"/>
  <c r="AB25" i="39" s="1"/>
  <c r="G76" i="39"/>
  <c r="G75" i="39"/>
  <c r="F82" i="39"/>
  <c r="F81" i="39"/>
  <c r="F80" i="39"/>
  <c r="F79" i="39"/>
  <c r="F78" i="39"/>
  <c r="F77" i="39"/>
  <c r="F76" i="39"/>
  <c r="F75" i="39"/>
  <c r="F83" i="39" s="1"/>
  <c r="F87" i="39" s="1"/>
  <c r="E82" i="39"/>
  <c r="E81" i="39"/>
  <c r="E80" i="39"/>
  <c r="E79" i="39"/>
  <c r="E78" i="39"/>
  <c r="E77" i="39"/>
  <c r="E85" i="39" s="1"/>
  <c r="E89" i="39" s="1"/>
  <c r="I48" i="36" s="1"/>
  <c r="E76" i="39"/>
  <c r="E75" i="39"/>
  <c r="E83" i="39" s="1"/>
  <c r="E87" i="39" s="1"/>
  <c r="I48" i="35" s="1"/>
  <c r="E86" i="39"/>
  <c r="E90" i="39" s="1"/>
  <c r="I48" i="37" s="1"/>
  <c r="E84" i="39"/>
  <c r="E88" i="39" s="1"/>
  <c r="F84" i="39"/>
  <c r="F88" i="39" s="1"/>
  <c r="N63" i="33"/>
  <c r="N62" i="33"/>
  <c r="N61" i="33"/>
  <c r="N60" i="33"/>
  <c r="N59" i="33"/>
  <c r="N58" i="33"/>
  <c r="N57" i="33"/>
  <c r="N56" i="33"/>
  <c r="N55" i="33"/>
  <c r="N54" i="33"/>
  <c r="N53" i="33"/>
  <c r="N52" i="33"/>
  <c r="N51" i="33"/>
  <c r="N50" i="33"/>
  <c r="N49" i="33"/>
  <c r="N48" i="33"/>
  <c r="I48" i="34" l="1"/>
  <c r="G86" i="39"/>
  <c r="G90" i="39" s="1"/>
  <c r="F85" i="39"/>
  <c r="F89" i="39" s="1"/>
  <c r="G83" i="39"/>
  <c r="AA25" i="39" s="1"/>
  <c r="F86" i="39"/>
  <c r="F90" i="39" s="1"/>
  <c r="Y10" i="39" l="1"/>
  <c r="N48" i="37" s="1"/>
  <c r="X10" i="39"/>
  <c r="N48" i="36" s="1"/>
  <c r="W10" i="39"/>
  <c r="N48" i="35" s="1"/>
  <c r="V10" i="39"/>
  <c r="N48" i="34" s="1"/>
  <c r="G73" i="39"/>
  <c r="F73" i="39"/>
  <c r="E73" i="39"/>
  <c r="G56" i="39" l="1"/>
  <c r="G55" i="39"/>
  <c r="G54" i="39"/>
  <c r="G53" i="39"/>
  <c r="F56" i="39"/>
  <c r="F55" i="39"/>
  <c r="F54" i="39"/>
  <c r="F53" i="39"/>
  <c r="F57" i="39" s="1"/>
  <c r="F61" i="39" s="1"/>
  <c r="E56" i="39"/>
  <c r="E55" i="39"/>
  <c r="E54" i="39"/>
  <c r="E53" i="39"/>
  <c r="E58" i="39" l="1"/>
  <c r="G57" i="39"/>
  <c r="G61" i="39" s="1"/>
  <c r="G65" i="39" s="1"/>
  <c r="S25" i="39" s="1"/>
  <c r="F59" i="39"/>
  <c r="F63" i="39" s="1"/>
  <c r="G60" i="39"/>
  <c r="G64" i="39" s="1"/>
  <c r="G59" i="39"/>
  <c r="G63" i="39" s="1"/>
  <c r="G67" i="39" s="1"/>
  <c r="T25" i="39" s="1"/>
  <c r="E57" i="39"/>
  <c r="F58" i="39"/>
  <c r="F62" i="39" s="1"/>
  <c r="E60" i="39"/>
  <c r="G58" i="39"/>
  <c r="G62" i="39" s="1"/>
  <c r="E59" i="39"/>
  <c r="F60" i="39"/>
  <c r="F64" i="39" s="1"/>
  <c r="E47" i="39"/>
  <c r="Q10" i="39" s="1"/>
  <c r="N29" i="37" s="1"/>
  <c r="F47" i="39"/>
  <c r="P10" i="39"/>
  <c r="N29" i="36" s="1"/>
  <c r="O10" i="39"/>
  <c r="N10" i="39"/>
  <c r="N29" i="34" s="1"/>
  <c r="G47" i="39"/>
  <c r="G30" i="39"/>
  <c r="G29" i="39"/>
  <c r="G28" i="39"/>
  <c r="G27" i="39"/>
  <c r="F30" i="39"/>
  <c r="F29" i="39"/>
  <c r="F28" i="39"/>
  <c r="F27" i="39"/>
  <c r="E30" i="39"/>
  <c r="E34" i="39" s="1"/>
  <c r="E29" i="39"/>
  <c r="E28" i="39"/>
  <c r="E27" i="39"/>
  <c r="E23" i="39"/>
  <c r="E24" i="39"/>
  <c r="E25" i="39"/>
  <c r="E26" i="39"/>
  <c r="P13" i="34"/>
  <c r="I11" i="39"/>
  <c r="I12" i="39" s="1"/>
  <c r="I13" i="39" s="1"/>
  <c r="I14" i="39" s="1"/>
  <c r="I15" i="39" s="1"/>
  <c r="G26" i="39"/>
  <c r="F26" i="39"/>
  <c r="F29" i="37" l="1"/>
  <c r="E64" i="39"/>
  <c r="X15" i="39"/>
  <c r="W15" i="39"/>
  <c r="V15" i="39"/>
  <c r="Y15" i="39"/>
  <c r="E63" i="39"/>
  <c r="F29" i="36" s="1"/>
  <c r="E61" i="39"/>
  <c r="F29" i="35" s="1"/>
  <c r="E38" i="39"/>
  <c r="K8" i="37" s="1"/>
  <c r="F29" i="34"/>
  <c r="E62" i="39"/>
  <c r="I16" i="39"/>
  <c r="I17" i="39" s="1"/>
  <c r="I18" i="39" s="1"/>
  <c r="I19" i="39" s="1"/>
  <c r="I20" i="39" s="1"/>
  <c r="I21" i="39" s="1"/>
  <c r="I22" i="39" s="1"/>
  <c r="I23" i="39" s="1"/>
  <c r="I24" i="39" s="1"/>
  <c r="I25" i="39" s="1"/>
  <c r="Q15" i="39"/>
  <c r="Q11" i="39" s="1"/>
  <c r="Q12" i="39" s="1"/>
  <c r="N31" i="37" s="1"/>
  <c r="O15" i="39"/>
  <c r="N34" i="35" s="1"/>
  <c r="P15" i="39"/>
  <c r="P11" i="39" s="1"/>
  <c r="N30" i="36" s="1"/>
  <c r="O25" i="39"/>
  <c r="N44" i="35" s="1"/>
  <c r="N15" i="39"/>
  <c r="N34" i="34" s="1"/>
  <c r="G34" i="39"/>
  <c r="N29" i="35"/>
  <c r="F34" i="39"/>
  <c r="F38" i="39" s="1"/>
  <c r="N34" i="36" l="1"/>
  <c r="N53" i="35"/>
  <c r="W11" i="39"/>
  <c r="N53" i="36"/>
  <c r="X11" i="39"/>
  <c r="N49" i="36" s="1"/>
  <c r="I53" i="34"/>
  <c r="Z11" i="39"/>
  <c r="I53" i="37"/>
  <c r="AC11" i="39"/>
  <c r="I53" i="35"/>
  <c r="AA11" i="39"/>
  <c r="I49" i="35" s="1"/>
  <c r="I53" i="36"/>
  <c r="AB11" i="39"/>
  <c r="Y25" i="39"/>
  <c r="X25" i="39"/>
  <c r="W25" i="39"/>
  <c r="V25" i="39"/>
  <c r="N25" i="39"/>
  <c r="N44" i="34" s="1"/>
  <c r="Y11" i="39"/>
  <c r="N49" i="37" s="1"/>
  <c r="N53" i="37"/>
  <c r="Y12" i="39"/>
  <c r="G38" i="39"/>
  <c r="K23" i="37" s="1"/>
  <c r="N53" i="34"/>
  <c r="V11" i="39"/>
  <c r="O11" i="39"/>
  <c r="N30" i="35" s="1"/>
  <c r="N34" i="37"/>
  <c r="P34" i="37" s="1"/>
  <c r="T34" i="37" s="1"/>
  <c r="F34" i="35"/>
  <c r="S11" i="39"/>
  <c r="F30" i="35" s="1"/>
  <c r="F34" i="36"/>
  <c r="T11" i="39"/>
  <c r="F34" i="37"/>
  <c r="U11" i="39"/>
  <c r="F34" i="34"/>
  <c r="R11" i="39"/>
  <c r="N11" i="39"/>
  <c r="N30" i="34" s="1"/>
  <c r="Q25" i="39"/>
  <c r="P25" i="39"/>
  <c r="O12" i="39"/>
  <c r="O13" i="39" s="1"/>
  <c r="O14" i="39" s="1"/>
  <c r="N33" i="35" s="1"/>
  <c r="N30" i="37"/>
  <c r="M11" i="39"/>
  <c r="M12" i="39" s="1"/>
  <c r="M13" i="39" s="1"/>
  <c r="M14" i="39" s="1"/>
  <c r="O16" i="39"/>
  <c r="O17" i="39" s="1"/>
  <c r="Q13" i="39"/>
  <c r="Q14" i="39" s="1"/>
  <c r="N33" i="37" s="1"/>
  <c r="P12" i="39"/>
  <c r="AA12" i="39" l="1"/>
  <c r="S12" i="39"/>
  <c r="V12" i="39"/>
  <c r="N49" i="34"/>
  <c r="I63" i="35"/>
  <c r="AA16" i="39"/>
  <c r="N63" i="34"/>
  <c r="V16" i="39"/>
  <c r="N54" i="34" s="1"/>
  <c r="AB12" i="39"/>
  <c r="I49" i="36"/>
  <c r="Z12" i="39"/>
  <c r="I49" i="34"/>
  <c r="AB16" i="39"/>
  <c r="I54" i="36" s="1"/>
  <c r="I63" i="36"/>
  <c r="N63" i="35"/>
  <c r="W16" i="39"/>
  <c r="N54" i="35" s="1"/>
  <c r="N63" i="36"/>
  <c r="X16" i="39"/>
  <c r="N16" i="39"/>
  <c r="N17" i="39" s="1"/>
  <c r="N18" i="39" s="1"/>
  <c r="Y13" i="39"/>
  <c r="N50" i="37"/>
  <c r="X12" i="39"/>
  <c r="AC16" i="39"/>
  <c r="I54" i="37" s="1"/>
  <c r="I63" i="37"/>
  <c r="W12" i="39"/>
  <c r="N49" i="35"/>
  <c r="N63" i="37"/>
  <c r="Y16" i="39"/>
  <c r="AA13" i="39"/>
  <c r="I50" i="35"/>
  <c r="I63" i="34"/>
  <c r="Z16" i="39"/>
  <c r="AC12" i="39"/>
  <c r="I49" i="37"/>
  <c r="N35" i="35"/>
  <c r="N12" i="39"/>
  <c r="N31" i="34" s="1"/>
  <c r="N31" i="35"/>
  <c r="F44" i="36"/>
  <c r="T16" i="39"/>
  <c r="F35" i="36" s="1"/>
  <c r="F44" i="37"/>
  <c r="U16" i="39"/>
  <c r="F35" i="37" s="1"/>
  <c r="Q16" i="39"/>
  <c r="N35" i="37" s="1"/>
  <c r="N44" i="37"/>
  <c r="P44" i="37" s="1"/>
  <c r="R44" i="37" s="1"/>
  <c r="N32" i="35"/>
  <c r="P16" i="39"/>
  <c r="N35" i="36" s="1"/>
  <c r="N44" i="36"/>
  <c r="R12" i="39"/>
  <c r="F30" i="34"/>
  <c r="S13" i="39"/>
  <c r="F31" i="35"/>
  <c r="F44" i="35"/>
  <c r="S16" i="39"/>
  <c r="T12" i="39"/>
  <c r="F30" i="36"/>
  <c r="F44" i="34"/>
  <c r="U44" i="34" s="1"/>
  <c r="R16" i="39"/>
  <c r="U12" i="39"/>
  <c r="F30" i="37"/>
  <c r="K13" i="37"/>
  <c r="N13" i="39"/>
  <c r="P13" i="39"/>
  <c r="N31" i="36"/>
  <c r="N32" i="37"/>
  <c r="O18" i="39"/>
  <c r="N36" i="35"/>
  <c r="W17" i="39" l="1"/>
  <c r="V17" i="39"/>
  <c r="N36" i="34"/>
  <c r="AC17" i="39"/>
  <c r="AC18" i="39" s="1"/>
  <c r="X13" i="39"/>
  <c r="N50" i="36"/>
  <c r="V18" i="39"/>
  <c r="N55" i="34"/>
  <c r="N51" i="37"/>
  <c r="Y14" i="39"/>
  <c r="N52" i="37" s="1"/>
  <c r="AB17" i="39"/>
  <c r="Z17" i="39"/>
  <c r="I54" i="34"/>
  <c r="I55" i="37"/>
  <c r="I51" i="35"/>
  <c r="AA14" i="39"/>
  <c r="I52" i="35" s="1"/>
  <c r="W13" i="39"/>
  <c r="N50" i="35"/>
  <c r="AA17" i="39"/>
  <c r="I54" i="35"/>
  <c r="N35" i="34"/>
  <c r="W18" i="39"/>
  <c r="N55" i="35"/>
  <c r="Z13" i="39"/>
  <c r="I50" i="34"/>
  <c r="AB13" i="39"/>
  <c r="I50" i="36"/>
  <c r="Y17" i="39"/>
  <c r="N54" i="37"/>
  <c r="AC13" i="39"/>
  <c r="I50" i="37"/>
  <c r="X17" i="39"/>
  <c r="N54" i="36"/>
  <c r="V13" i="39"/>
  <c r="N50" i="34"/>
  <c r="T17" i="39"/>
  <c r="F36" i="36" s="1"/>
  <c r="P17" i="39"/>
  <c r="P18" i="39" s="1"/>
  <c r="P19" i="39" s="1"/>
  <c r="N38" i="36" s="1"/>
  <c r="U17" i="39"/>
  <c r="U18" i="39" s="1"/>
  <c r="R13" i="39"/>
  <c r="F31" i="34"/>
  <c r="S17" i="39"/>
  <c r="F35" i="35"/>
  <c r="U13" i="39"/>
  <c r="F31" i="37"/>
  <c r="R17" i="39"/>
  <c r="F35" i="34"/>
  <c r="T13" i="39"/>
  <c r="F31" i="36"/>
  <c r="S14" i="39"/>
  <c r="F33" i="35" s="1"/>
  <c r="F32" i="35"/>
  <c r="Q17" i="39"/>
  <c r="P14" i="39"/>
  <c r="N33" i="36" s="1"/>
  <c r="N32" i="36"/>
  <c r="N32" i="34"/>
  <c r="N14" i="39"/>
  <c r="N33" i="34" s="1"/>
  <c r="N19" i="39"/>
  <c r="N37" i="34"/>
  <c r="O19" i="39"/>
  <c r="N37" i="35"/>
  <c r="T18" i="39" l="1"/>
  <c r="T19" i="39" s="1"/>
  <c r="P20" i="39"/>
  <c r="N39" i="36" s="1"/>
  <c r="AA18" i="39"/>
  <c r="I55" i="35"/>
  <c r="Z18" i="39"/>
  <c r="I55" i="34"/>
  <c r="V14" i="39"/>
  <c r="N52" i="34" s="1"/>
  <c r="N51" i="34"/>
  <c r="AB14" i="39"/>
  <c r="I52" i="36" s="1"/>
  <c r="I51" i="36"/>
  <c r="AB18" i="39"/>
  <c r="I55" i="36"/>
  <c r="AC14" i="39"/>
  <c r="I52" i="37" s="1"/>
  <c r="I51" i="37"/>
  <c r="W19" i="39"/>
  <c r="N56" i="35"/>
  <c r="V19" i="39"/>
  <c r="N56" i="34"/>
  <c r="Z14" i="39"/>
  <c r="I52" i="34" s="1"/>
  <c r="I51" i="34"/>
  <c r="AC19" i="39"/>
  <c r="I56" i="37"/>
  <c r="W14" i="39"/>
  <c r="N52" i="35" s="1"/>
  <c r="N51" i="35"/>
  <c r="X18" i="39"/>
  <c r="N55" i="36"/>
  <c r="Y18" i="39"/>
  <c r="N55" i="37"/>
  <c r="X14" i="39"/>
  <c r="N52" i="36" s="1"/>
  <c r="N51" i="36"/>
  <c r="F36" i="37"/>
  <c r="N36" i="36"/>
  <c r="N37" i="36"/>
  <c r="U14" i="39"/>
  <c r="F33" i="37" s="1"/>
  <c r="F32" i="37"/>
  <c r="S18" i="39"/>
  <c r="F36" i="35"/>
  <c r="R18" i="39"/>
  <c r="F36" i="34"/>
  <c r="F37" i="37"/>
  <c r="U19" i="39"/>
  <c r="Q18" i="39"/>
  <c r="N36" i="37"/>
  <c r="F37" i="36"/>
  <c r="T14" i="39"/>
  <c r="F33" i="36" s="1"/>
  <c r="F32" i="36"/>
  <c r="R14" i="39"/>
  <c r="F33" i="34" s="1"/>
  <c r="F32" i="34"/>
  <c r="O20" i="39"/>
  <c r="N38" i="35"/>
  <c r="N20" i="39"/>
  <c r="N38" i="34"/>
  <c r="P21" i="39" l="1"/>
  <c r="P22" i="39" s="1"/>
  <c r="X19" i="39"/>
  <c r="N56" i="36"/>
  <c r="V20" i="39"/>
  <c r="N57" i="34"/>
  <c r="AC20" i="39"/>
  <c r="I57" i="37"/>
  <c r="Z19" i="39"/>
  <c r="I56" i="34"/>
  <c r="W20" i="39"/>
  <c r="N57" i="35"/>
  <c r="Y19" i="39"/>
  <c r="N56" i="37"/>
  <c r="I56" i="36"/>
  <c r="AB19" i="39"/>
  <c r="AA19" i="39"/>
  <c r="I56" i="35"/>
  <c r="U20" i="39"/>
  <c r="F38" i="37"/>
  <c r="S19" i="39"/>
  <c r="F37" i="35"/>
  <c r="T20" i="39"/>
  <c r="F38" i="36"/>
  <c r="R19" i="39"/>
  <c r="F37" i="34"/>
  <c r="Q19" i="39"/>
  <c r="N37" i="37"/>
  <c r="N21" i="39"/>
  <c r="N39" i="34"/>
  <c r="O21" i="39"/>
  <c r="N39" i="35"/>
  <c r="N40" i="36"/>
  <c r="AA20" i="39" l="1"/>
  <c r="I57" i="35"/>
  <c r="Z20" i="39"/>
  <c r="I57" i="34"/>
  <c r="AB20" i="39"/>
  <c r="I57" i="36"/>
  <c r="Y20" i="39"/>
  <c r="N57" i="37"/>
  <c r="V21" i="39"/>
  <c r="N58" i="34"/>
  <c r="AC21" i="39"/>
  <c r="I58" i="37"/>
  <c r="W21" i="39"/>
  <c r="N58" i="35"/>
  <c r="X20" i="39"/>
  <c r="N57" i="36"/>
  <c r="R20" i="39"/>
  <c r="F38" i="34"/>
  <c r="T21" i="39"/>
  <c r="F39" i="36"/>
  <c r="S20" i="39"/>
  <c r="F38" i="35"/>
  <c r="N38" i="37"/>
  <c r="Q20" i="39"/>
  <c r="U21" i="39"/>
  <c r="F39" i="37"/>
  <c r="N22" i="39"/>
  <c r="N40" i="34"/>
  <c r="P23" i="39"/>
  <c r="N41" i="36"/>
  <c r="O22" i="39"/>
  <c r="N40" i="35"/>
  <c r="X21" i="39" l="1"/>
  <c r="N58" i="36"/>
  <c r="Y21" i="39"/>
  <c r="N58" i="37"/>
  <c r="AC22" i="39"/>
  <c r="I59" i="37"/>
  <c r="Z21" i="39"/>
  <c r="I58" i="34"/>
  <c r="W22" i="39"/>
  <c r="N59" i="35"/>
  <c r="AB21" i="39"/>
  <c r="I58" i="36"/>
  <c r="V22" i="39"/>
  <c r="N59" i="34"/>
  <c r="AA21" i="39"/>
  <c r="I58" i="35"/>
  <c r="S21" i="39"/>
  <c r="F39" i="35"/>
  <c r="T22" i="39"/>
  <c r="F40" i="36"/>
  <c r="N39" i="37"/>
  <c r="Q21" i="39"/>
  <c r="U22" i="39"/>
  <c r="F40" i="37"/>
  <c r="R21" i="39"/>
  <c r="F39" i="34"/>
  <c r="P24" i="39"/>
  <c r="N43" i="36" s="1"/>
  <c r="N42" i="36"/>
  <c r="O23" i="39"/>
  <c r="N41" i="35"/>
  <c r="N23" i="39"/>
  <c r="N41" i="34"/>
  <c r="Z22" i="39" l="1"/>
  <c r="I59" i="34"/>
  <c r="V23" i="39"/>
  <c r="N60" i="34"/>
  <c r="AB22" i="39"/>
  <c r="I59" i="36"/>
  <c r="Y22" i="39"/>
  <c r="N59" i="37"/>
  <c r="AA22" i="39"/>
  <c r="I59" i="35"/>
  <c r="AC23" i="39"/>
  <c r="I60" i="37"/>
  <c r="W23" i="39"/>
  <c r="N60" i="35"/>
  <c r="X22" i="39"/>
  <c r="N59" i="36"/>
  <c r="N40" i="37"/>
  <c r="Q22" i="39"/>
  <c r="U23" i="39"/>
  <c r="F41" i="37"/>
  <c r="T23" i="39"/>
  <c r="F41" i="36"/>
  <c r="R22" i="39"/>
  <c r="F40" i="34"/>
  <c r="S22" i="39"/>
  <c r="F40" i="35"/>
  <c r="N24" i="39"/>
  <c r="N43" i="34" s="1"/>
  <c r="N42" i="34"/>
  <c r="O24" i="39"/>
  <c r="N43" i="35" s="1"/>
  <c r="N42" i="35"/>
  <c r="X23" i="39" l="1"/>
  <c r="N60" i="36"/>
  <c r="Y23" i="39"/>
  <c r="N60" i="37"/>
  <c r="W24" i="39"/>
  <c r="N62" i="35" s="1"/>
  <c r="N61" i="35"/>
  <c r="AC24" i="39"/>
  <c r="I62" i="37" s="1"/>
  <c r="I61" i="37"/>
  <c r="V24" i="39"/>
  <c r="N62" i="34" s="1"/>
  <c r="N61" i="34"/>
  <c r="AB23" i="39"/>
  <c r="I60" i="36"/>
  <c r="AA23" i="39"/>
  <c r="I60" i="35"/>
  <c r="Z23" i="39"/>
  <c r="I60" i="34"/>
  <c r="R23" i="39"/>
  <c r="F41" i="34"/>
  <c r="U24" i="39"/>
  <c r="F43" i="37" s="1"/>
  <c r="F42" i="37"/>
  <c r="Q23" i="39"/>
  <c r="N41" i="37"/>
  <c r="T24" i="39"/>
  <c r="F43" i="36" s="1"/>
  <c r="F42" i="36"/>
  <c r="S23" i="39"/>
  <c r="F41" i="35"/>
  <c r="Z24" i="39" l="1"/>
  <c r="I62" i="34" s="1"/>
  <c r="I61" i="34"/>
  <c r="AA24" i="39"/>
  <c r="I62" i="35" s="1"/>
  <c r="I61" i="35"/>
  <c r="AB24" i="39"/>
  <c r="I62" i="36" s="1"/>
  <c r="I61" i="36"/>
  <c r="Y24" i="39"/>
  <c r="N62" i="37" s="1"/>
  <c r="N61" i="37"/>
  <c r="X24" i="39"/>
  <c r="N62" i="36" s="1"/>
  <c r="N61" i="36"/>
  <c r="Q24" i="39"/>
  <c r="N43" i="37" s="1"/>
  <c r="N42" i="37"/>
  <c r="S24" i="39"/>
  <c r="F43" i="35" s="1"/>
  <c r="F42" i="35"/>
  <c r="R24" i="39"/>
  <c r="F43" i="34" s="1"/>
  <c r="F42" i="34"/>
  <c r="F25" i="39" l="1"/>
  <c r="F33" i="39" s="1"/>
  <c r="F37" i="39" s="1"/>
  <c r="F24" i="39"/>
  <c r="F23" i="39"/>
  <c r="G25" i="39"/>
  <c r="G24" i="39"/>
  <c r="G23" i="39"/>
  <c r="E33" i="39" l="1"/>
  <c r="E37" i="39" s="1"/>
  <c r="F31" i="39"/>
  <c r="F35" i="39" s="1"/>
  <c r="G31" i="39"/>
  <c r="G35" i="39" s="1"/>
  <c r="G39" i="39" s="1"/>
  <c r="K25" i="39" s="1"/>
  <c r="G33" i="39"/>
  <c r="G37" i="39" s="1"/>
  <c r="G41" i="39" s="1"/>
  <c r="L25" i="39" s="1"/>
  <c r="BF284" i="17"/>
  <c r="BE285" i="17"/>
  <c r="BE286" i="17"/>
  <c r="BE287" i="17"/>
  <c r="BE288" i="17"/>
  <c r="BE289" i="17"/>
  <c r="BE290" i="17"/>
  <c r="BE291" i="17"/>
  <c r="BE292" i="17"/>
  <c r="BE293" i="17"/>
  <c r="BE294" i="17"/>
  <c r="BE295" i="17"/>
  <c r="BE296" i="17"/>
  <c r="BE297" i="17"/>
  <c r="BE298" i="17"/>
  <c r="BE299" i="17"/>
  <c r="BE284" i="17"/>
  <c r="F261" i="2" l="1"/>
  <c r="K23" i="35" l="1"/>
  <c r="K23" i="36"/>
  <c r="K13" i="36"/>
  <c r="V45" i="34"/>
  <c r="V44" i="34"/>
  <c r="D290" i="2"/>
  <c r="D291" i="2" s="1"/>
  <c r="D292" i="2" s="1"/>
  <c r="D293" i="2" s="1"/>
  <c r="D294" i="2" s="1"/>
  <c r="D295" i="2" s="1"/>
  <c r="D296" i="2" s="1"/>
  <c r="D297" i="2" s="1"/>
  <c r="D298" i="2" s="1"/>
  <c r="AL135" i="17"/>
  <c r="AM4" i="17"/>
  <c r="AO134" i="17"/>
  <c r="AK5" i="17"/>
  <c r="AK135" i="17"/>
  <c r="AJ147" i="17"/>
  <c r="AN135" i="17"/>
  <c r="AL6" i="17"/>
  <c r="AK123" i="17"/>
  <c r="AM122" i="17"/>
  <c r="AJ5" i="17"/>
  <c r="AQ147" i="17"/>
  <c r="AM123" i="17"/>
  <c r="AJ146" i="17"/>
  <c r="AO147" i="17"/>
  <c r="AM6" i="17"/>
  <c r="AM134" i="17"/>
  <c r="AL4" i="17"/>
  <c r="AL146" i="17"/>
  <c r="AJ122" i="17"/>
  <c r="AM5" i="17"/>
  <c r="AQ135" i="17"/>
  <c r="AK4" i="17"/>
  <c r="AJ6" i="17"/>
  <c r="AP135" i="17"/>
  <c r="AL134" i="17"/>
  <c r="AQ134" i="17"/>
  <c r="AJ134" i="17"/>
  <c r="AK146" i="17"/>
  <c r="AN134" i="17"/>
  <c r="AK122" i="17"/>
  <c r="AP134" i="17"/>
  <c r="AK6" i="17"/>
  <c r="AL5" i="17"/>
  <c r="AJ4" i="17"/>
  <c r="AL123" i="17"/>
  <c r="AP146" i="17"/>
  <c r="AM135" i="17"/>
  <c r="AP147" i="17"/>
  <c r="AO146" i="17"/>
  <c r="AM147" i="17"/>
  <c r="AQ146" i="17"/>
  <c r="AM146" i="17"/>
  <c r="AN147" i="17"/>
  <c r="AJ123" i="17"/>
  <c r="AL147" i="17"/>
  <c r="AO135" i="17"/>
  <c r="AN146" i="17"/>
  <c r="AK134" i="17"/>
  <c r="AJ135" i="17"/>
  <c r="AL122" i="17"/>
  <c r="AK147" i="17"/>
  <c r="U46" i="34" l="1"/>
  <c r="V46" i="34"/>
  <c r="K8" i="36"/>
  <c r="K13" i="35"/>
  <c r="L11" i="39"/>
  <c r="L12" i="39" s="1"/>
  <c r="L13" i="39" s="1"/>
  <c r="L14" i="39" s="1"/>
  <c r="AS122" i="17"/>
  <c r="AS128" i="17" s="1"/>
  <c r="AU123" i="17"/>
  <c r="AU129" i="17" s="1"/>
  <c r="AV123" i="17"/>
  <c r="AV129" i="17" s="1"/>
  <c r="AT123" i="17"/>
  <c r="AT129" i="17" s="1"/>
  <c r="AV122" i="17"/>
  <c r="AV128" i="17" s="1"/>
  <c r="AU122" i="17"/>
  <c r="AU128" i="17" s="1"/>
  <c r="AT122" i="17"/>
  <c r="AT128" i="17" s="1"/>
  <c r="AS123" i="17"/>
  <c r="AS129" i="17" s="1"/>
  <c r="AK120" i="17"/>
  <c r="AK121" i="17"/>
  <c r="AL121" i="17"/>
  <c r="Q44" i="32"/>
  <c r="Q34" i="32"/>
  <c r="Q44" i="33"/>
  <c r="Q34" i="33"/>
  <c r="Q44" i="34"/>
  <c r="Q34" i="34"/>
  <c r="Q44" i="35"/>
  <c r="Q34" i="35"/>
  <c r="Q44" i="36"/>
  <c r="Q34" i="36"/>
  <c r="Q44" i="37"/>
  <c r="Q34" i="37"/>
  <c r="Q44" i="31"/>
  <c r="Q34" i="31"/>
  <c r="Q44" i="1"/>
  <c r="AM121" i="17" s="1"/>
  <c r="Q34" i="1"/>
  <c r="AL120" i="17" s="1"/>
  <c r="AJ120" i="17" l="1"/>
  <c r="AJ121" i="17"/>
  <c r="AQ120" i="17"/>
  <c r="AQ121" i="17"/>
  <c r="AP120" i="17"/>
  <c r="AP121" i="17"/>
  <c r="AO120" i="17"/>
  <c r="AO121" i="17"/>
  <c r="AN120" i="17"/>
  <c r="AN121" i="17"/>
  <c r="AM120" i="17"/>
  <c r="AS285" i="17"/>
  <c r="AX285" i="17"/>
  <c r="BC285" i="17"/>
  <c r="AS286" i="17"/>
  <c r="AX286" i="17"/>
  <c r="BC286" i="17"/>
  <c r="AS287" i="17"/>
  <c r="AX287" i="17"/>
  <c r="BC287" i="17"/>
  <c r="AS288" i="17"/>
  <c r="AX288" i="17"/>
  <c r="BC288" i="17"/>
  <c r="AX284" i="17"/>
  <c r="BC284" i="17"/>
  <c r="AS284" i="17"/>
  <c r="AN288" i="17"/>
  <c r="AN287" i="17"/>
  <c r="AN286" i="17"/>
  <c r="AN285" i="17"/>
  <c r="AN284" i="17"/>
  <c r="K23" i="1"/>
  <c r="AK299" i="17" s="1"/>
  <c r="K22" i="1"/>
  <c r="AK298" i="17" s="1"/>
  <c r="K21" i="1"/>
  <c r="AK297" i="17" s="1"/>
  <c r="K20" i="1"/>
  <c r="AK296" i="17" s="1"/>
  <c r="K19" i="1"/>
  <c r="AK295" i="17" s="1"/>
  <c r="K18" i="1"/>
  <c r="AK294" i="17" s="1"/>
  <c r="K17" i="1"/>
  <c r="AK293" i="17" s="1"/>
  <c r="K16" i="1"/>
  <c r="AK292" i="17" s="1"/>
  <c r="K15" i="1"/>
  <c r="AK291" i="17" s="1"/>
  <c r="K14" i="1"/>
  <c r="AK290" i="17" s="1"/>
  <c r="K13" i="1"/>
  <c r="AK289" i="17" s="1"/>
  <c r="K12" i="1"/>
  <c r="AK288" i="17" s="1"/>
  <c r="K11" i="1"/>
  <c r="AK287" i="17" s="1"/>
  <c r="K10" i="1"/>
  <c r="AK286" i="17" s="1"/>
  <c r="K9" i="1"/>
  <c r="AK285" i="17" s="1"/>
  <c r="K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AJ59" i="17"/>
  <c r="AJ51" i="17"/>
  <c r="AJ67" i="17"/>
  <c r="P23" i="32" l="1"/>
  <c r="P22" i="32"/>
  <c r="P21" i="32"/>
  <c r="P20" i="32"/>
  <c r="P19" i="32"/>
  <c r="P18" i="32"/>
  <c r="P17" i="32"/>
  <c r="P16" i="32"/>
  <c r="P15" i="32"/>
  <c r="P14" i="32"/>
  <c r="P13" i="32"/>
  <c r="P23" i="33"/>
  <c r="P22" i="33"/>
  <c r="AS298" i="17" s="1"/>
  <c r="P21" i="33"/>
  <c r="AS297" i="17" s="1"/>
  <c r="P20" i="33"/>
  <c r="AS296" i="17" s="1"/>
  <c r="P19" i="33"/>
  <c r="AS295" i="17" s="1"/>
  <c r="P18" i="33"/>
  <c r="AS294" i="17" s="1"/>
  <c r="P17" i="33"/>
  <c r="AS293" i="17" s="1"/>
  <c r="P16" i="33"/>
  <c r="AS292" i="17" s="1"/>
  <c r="P15" i="33"/>
  <c r="AS291" i="17" s="1"/>
  <c r="P14" i="33"/>
  <c r="AS290" i="17" s="1"/>
  <c r="P13" i="33"/>
  <c r="P23" i="34"/>
  <c r="P22" i="34"/>
  <c r="AX298" i="17" s="1"/>
  <c r="P21" i="34"/>
  <c r="AX297" i="17" s="1"/>
  <c r="P20" i="34"/>
  <c r="AX296" i="17" s="1"/>
  <c r="P19" i="34"/>
  <c r="AX295" i="17" s="1"/>
  <c r="P18" i="34"/>
  <c r="AX294" i="17" s="1"/>
  <c r="P17" i="34"/>
  <c r="AX293" i="17" s="1"/>
  <c r="P16" i="34"/>
  <c r="AX292" i="17" s="1"/>
  <c r="P15" i="34"/>
  <c r="AX291" i="17" s="1"/>
  <c r="P14" i="34"/>
  <c r="AX290" i="17" s="1"/>
  <c r="P23" i="35"/>
  <c r="P22" i="35"/>
  <c r="P21" i="35"/>
  <c r="P20" i="35"/>
  <c r="P19" i="35"/>
  <c r="P18" i="35"/>
  <c r="P17" i="35"/>
  <c r="P16" i="35"/>
  <c r="P15" i="35"/>
  <c r="P14" i="35"/>
  <c r="P13" i="35"/>
  <c r="P23" i="36"/>
  <c r="P22" i="36"/>
  <c r="P21" i="36"/>
  <c r="P20" i="36"/>
  <c r="P19" i="36"/>
  <c r="P18" i="36"/>
  <c r="P17" i="36"/>
  <c r="P16" i="36"/>
  <c r="P15" i="36"/>
  <c r="P14" i="36"/>
  <c r="P13" i="36"/>
  <c r="P23" i="37"/>
  <c r="P22" i="37"/>
  <c r="BC298" i="17" s="1"/>
  <c r="P21" i="37"/>
  <c r="BC297" i="17" s="1"/>
  <c r="P20" i="37"/>
  <c r="BC296" i="17" s="1"/>
  <c r="P19" i="37"/>
  <c r="BC295" i="17" s="1"/>
  <c r="P18" i="37"/>
  <c r="BC294" i="17" s="1"/>
  <c r="P17" i="37"/>
  <c r="BC293" i="17" s="1"/>
  <c r="P16" i="37"/>
  <c r="BC292" i="17" s="1"/>
  <c r="P15" i="37"/>
  <c r="BC291" i="17" s="1"/>
  <c r="P14" i="37"/>
  <c r="BC290" i="17" s="1"/>
  <c r="P13" i="37"/>
  <c r="P23" i="31"/>
  <c r="P22" i="31"/>
  <c r="P21" i="31"/>
  <c r="P20" i="31"/>
  <c r="P19" i="31"/>
  <c r="P18" i="31"/>
  <c r="P17" i="31"/>
  <c r="P16" i="31"/>
  <c r="P15" i="31"/>
  <c r="P14" i="31"/>
  <c r="P13" i="31"/>
  <c r="L23" i="32"/>
  <c r="G23" i="32"/>
  <c r="L22" i="32"/>
  <c r="G22" i="32"/>
  <c r="L21" i="32"/>
  <c r="G21" i="32"/>
  <c r="L20" i="32"/>
  <c r="G20" i="32"/>
  <c r="L19" i="32"/>
  <c r="G19" i="32"/>
  <c r="L18" i="32"/>
  <c r="G18" i="32"/>
  <c r="L17" i="32"/>
  <c r="G17" i="32"/>
  <c r="L16" i="32"/>
  <c r="G16" i="32"/>
  <c r="L15" i="32"/>
  <c r="G15" i="32"/>
  <c r="L14" i="32"/>
  <c r="G14" i="32"/>
  <c r="L13" i="32"/>
  <c r="G13" i="32"/>
  <c r="L12" i="32"/>
  <c r="G12" i="32"/>
  <c r="L11" i="32"/>
  <c r="G11" i="32"/>
  <c r="L10" i="32"/>
  <c r="G10" i="32"/>
  <c r="L9" i="32"/>
  <c r="G9" i="32"/>
  <c r="L8" i="32"/>
  <c r="G8" i="32"/>
  <c r="L23" i="33"/>
  <c r="G23" i="33"/>
  <c r="L22" i="33"/>
  <c r="G22" i="33"/>
  <c r="L21" i="33"/>
  <c r="G21" i="33"/>
  <c r="L20" i="33"/>
  <c r="G20" i="33"/>
  <c r="L19" i="33"/>
  <c r="G19" i="33"/>
  <c r="L18" i="33"/>
  <c r="G18" i="33"/>
  <c r="L17" i="33"/>
  <c r="G17" i="33"/>
  <c r="L16" i="33"/>
  <c r="G16" i="33"/>
  <c r="L15" i="33"/>
  <c r="G15" i="33"/>
  <c r="L14" i="33"/>
  <c r="G14" i="33"/>
  <c r="L13" i="33"/>
  <c r="G13" i="33"/>
  <c r="L12" i="33"/>
  <c r="G12" i="33"/>
  <c r="L11" i="33"/>
  <c r="G11" i="33"/>
  <c r="L10" i="33"/>
  <c r="G10" i="33"/>
  <c r="L9" i="33"/>
  <c r="G9" i="33"/>
  <c r="L8" i="33"/>
  <c r="G8" i="33"/>
  <c r="L23" i="34"/>
  <c r="G23" i="34"/>
  <c r="L22" i="34"/>
  <c r="G22" i="34"/>
  <c r="L21" i="34"/>
  <c r="G21" i="34"/>
  <c r="L20" i="34"/>
  <c r="G20" i="34"/>
  <c r="L19" i="34"/>
  <c r="G19" i="34"/>
  <c r="L18" i="34"/>
  <c r="G18" i="34"/>
  <c r="L17" i="34"/>
  <c r="G17" i="34"/>
  <c r="L16" i="34"/>
  <c r="G16" i="34"/>
  <c r="L15" i="34"/>
  <c r="G15" i="34"/>
  <c r="L14" i="34"/>
  <c r="G14" i="34"/>
  <c r="L13" i="34"/>
  <c r="G13" i="34"/>
  <c r="L12" i="34"/>
  <c r="G12" i="34"/>
  <c r="L11" i="34"/>
  <c r="G11" i="34"/>
  <c r="L10" i="34"/>
  <c r="G10" i="34"/>
  <c r="L9" i="34"/>
  <c r="G9" i="34"/>
  <c r="L8" i="34"/>
  <c r="G8" i="34"/>
  <c r="L23" i="35"/>
  <c r="G23" i="35"/>
  <c r="L22" i="35"/>
  <c r="G22" i="35"/>
  <c r="L21" i="35"/>
  <c r="G21" i="35"/>
  <c r="L20" i="35"/>
  <c r="G20" i="35"/>
  <c r="L19" i="35"/>
  <c r="G19" i="35"/>
  <c r="L18" i="35"/>
  <c r="G18" i="35"/>
  <c r="L17" i="35"/>
  <c r="G17" i="35"/>
  <c r="L16" i="35"/>
  <c r="G16" i="35"/>
  <c r="L15" i="35"/>
  <c r="G15" i="35"/>
  <c r="L14" i="35"/>
  <c r="G14" i="35"/>
  <c r="L13" i="35"/>
  <c r="G13" i="35"/>
  <c r="L12" i="35"/>
  <c r="G12" i="35"/>
  <c r="L11" i="35"/>
  <c r="G11" i="35"/>
  <c r="L10" i="35"/>
  <c r="G10" i="35"/>
  <c r="L9" i="35"/>
  <c r="G9" i="35"/>
  <c r="L8" i="35"/>
  <c r="G8" i="35"/>
  <c r="L23" i="36"/>
  <c r="G23" i="36"/>
  <c r="L22" i="36"/>
  <c r="G22" i="36"/>
  <c r="L21" i="36"/>
  <c r="G21" i="36"/>
  <c r="L20" i="36"/>
  <c r="G20" i="36"/>
  <c r="L19" i="36"/>
  <c r="G19" i="36"/>
  <c r="L18" i="36"/>
  <c r="G18" i="36"/>
  <c r="L17" i="36"/>
  <c r="G17" i="36"/>
  <c r="L16" i="36"/>
  <c r="G16" i="36"/>
  <c r="L15" i="36"/>
  <c r="G15" i="36"/>
  <c r="L14" i="36"/>
  <c r="G14" i="36"/>
  <c r="L13" i="36"/>
  <c r="G13" i="36"/>
  <c r="L12" i="36"/>
  <c r="G12" i="36"/>
  <c r="L11" i="36"/>
  <c r="G11" i="36"/>
  <c r="L10" i="36"/>
  <c r="G10" i="36"/>
  <c r="L9" i="36"/>
  <c r="G9" i="36"/>
  <c r="L8" i="36"/>
  <c r="G8" i="36"/>
  <c r="L23" i="37"/>
  <c r="G23" i="37"/>
  <c r="L22" i="37"/>
  <c r="G22" i="37"/>
  <c r="L21" i="37"/>
  <c r="G21" i="37"/>
  <c r="L20" i="37"/>
  <c r="G20" i="37"/>
  <c r="L19" i="37"/>
  <c r="G19" i="37"/>
  <c r="L18" i="37"/>
  <c r="G18" i="37"/>
  <c r="L17" i="37"/>
  <c r="G17" i="37"/>
  <c r="L16" i="37"/>
  <c r="G16" i="37"/>
  <c r="L15" i="37"/>
  <c r="G15" i="37"/>
  <c r="L14" i="37"/>
  <c r="G14" i="37"/>
  <c r="L13" i="37"/>
  <c r="G13" i="37"/>
  <c r="L12" i="37"/>
  <c r="G12" i="37"/>
  <c r="L11" i="37"/>
  <c r="G11" i="37"/>
  <c r="L10" i="37"/>
  <c r="G10" i="37"/>
  <c r="L9" i="37"/>
  <c r="G9" i="37"/>
  <c r="L8" i="37"/>
  <c r="G8" i="37"/>
  <c r="L23" i="31"/>
  <c r="G23" i="31"/>
  <c r="L22" i="31"/>
  <c r="G22" i="31"/>
  <c r="L21" i="31"/>
  <c r="G21" i="31"/>
  <c r="L20" i="31"/>
  <c r="G20" i="31"/>
  <c r="L19" i="31"/>
  <c r="G19" i="31"/>
  <c r="L18" i="31"/>
  <c r="G18" i="31"/>
  <c r="L17" i="31"/>
  <c r="G17" i="31"/>
  <c r="L16" i="31"/>
  <c r="G16" i="31"/>
  <c r="L15" i="31"/>
  <c r="G15" i="31"/>
  <c r="L14" i="31"/>
  <c r="G14" i="31"/>
  <c r="L13" i="31"/>
  <c r="G13" i="31"/>
  <c r="L12" i="31"/>
  <c r="G12" i="31"/>
  <c r="L11" i="31"/>
  <c r="G11" i="31"/>
  <c r="L10" i="31"/>
  <c r="G10" i="31"/>
  <c r="L9" i="31"/>
  <c r="G9" i="31"/>
  <c r="L8" i="31"/>
  <c r="G8" i="3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P23" i="1"/>
  <c r="P22" i="1"/>
  <c r="AN298" i="17" s="1"/>
  <c r="P21" i="1"/>
  <c r="AN297" i="17" s="1"/>
  <c r="P20" i="1"/>
  <c r="AN296" i="17" s="1"/>
  <c r="P19" i="1"/>
  <c r="AN295" i="17" s="1"/>
  <c r="P18" i="1"/>
  <c r="AN294" i="17" s="1"/>
  <c r="P17" i="1"/>
  <c r="AN293" i="17" s="1"/>
  <c r="P16" i="1"/>
  <c r="AN292" i="17" s="1"/>
  <c r="P15" i="1"/>
  <c r="AN291" i="17" s="1"/>
  <c r="P14" i="1"/>
  <c r="AN290" i="17" s="1"/>
  <c r="P13" i="1"/>
  <c r="R2" i="1" s="1"/>
  <c r="N8" i="1"/>
  <c r="O8" i="1"/>
  <c r="AP346" i="17"/>
  <c r="AJ346" i="17"/>
  <c r="AM330" i="17"/>
  <c r="AM346" i="17"/>
  <c r="AN345" i="17"/>
  <c r="AQ346" i="17"/>
  <c r="AJ329" i="17"/>
  <c r="AO329" i="17"/>
  <c r="AO346" i="17"/>
  <c r="AQ345" i="17"/>
  <c r="AN346" i="17"/>
  <c r="AL329" i="17"/>
  <c r="AK329" i="17"/>
  <c r="AL345" i="17"/>
  <c r="AK345" i="17"/>
  <c r="AJ345" i="17"/>
  <c r="AO345" i="17"/>
  <c r="AN329" i="17"/>
  <c r="AM345" i="17"/>
  <c r="AL346" i="17"/>
  <c r="AN330" i="17"/>
  <c r="AP345" i="17"/>
  <c r="AM329" i="17"/>
  <c r="AO330" i="17"/>
  <c r="AK346" i="17"/>
  <c r="AQ329" i="17"/>
  <c r="AL330" i="17"/>
  <c r="AK330" i="17"/>
  <c r="AQ330" i="17"/>
  <c r="AJ330" i="17"/>
  <c r="AP329" i="17"/>
  <c r="AP330" i="17"/>
  <c r="AM332" i="17" l="1"/>
  <c r="AQ332" i="17"/>
  <c r="AL332" i="17"/>
  <c r="AJ332" i="17"/>
  <c r="AO332" i="17"/>
  <c r="AN332" i="17"/>
  <c r="AK332" i="17"/>
  <c r="AP332" i="17"/>
  <c r="AK333" i="17"/>
  <c r="AN333" i="17"/>
  <c r="AP333" i="17"/>
  <c r="AO333" i="17"/>
  <c r="AL333" i="17"/>
  <c r="AQ333" i="17"/>
  <c r="AM333" i="17"/>
  <c r="AJ333" i="17"/>
  <c r="AT330" i="17"/>
  <c r="AT329" i="17"/>
  <c r="AS330" i="17"/>
  <c r="AS329" i="17"/>
  <c r="R2" i="36"/>
  <c r="R2" i="31"/>
  <c r="R2" i="35"/>
  <c r="R2" i="33"/>
  <c r="R2" i="32"/>
  <c r="R2" i="37"/>
  <c r="R2" i="34"/>
  <c r="BC299" i="17"/>
  <c r="AX299" i="17"/>
  <c r="AN299" i="17"/>
  <c r="AS289" i="17"/>
  <c r="AS299" i="17"/>
  <c r="BC289" i="17"/>
  <c r="AN289" i="17"/>
  <c r="AK284" i="17"/>
  <c r="AX289" i="17"/>
  <c r="S26" i="1"/>
  <c r="T26" i="1"/>
  <c r="F272" i="2"/>
  <c r="E272" i="2"/>
  <c r="H53" i="1" l="1"/>
  <c r="AJ41" i="17" l="1"/>
  <c r="E23" i="2"/>
  <c r="F65" i="2" l="1"/>
  <c r="F79" i="2" s="1"/>
  <c r="F126" i="2" l="1"/>
  <c r="F80" i="2"/>
  <c r="F125" i="2"/>
  <c r="F127" i="2"/>
  <c r="F128" i="2"/>
  <c r="AJ143" i="17"/>
  <c r="AP143" i="17" s="1"/>
  <c r="AJ142" i="17"/>
  <c r="AP142" i="17" s="1"/>
  <c r="AJ131" i="17"/>
  <c r="AK131" i="17" s="1"/>
  <c r="AJ130" i="17"/>
  <c r="AP130" i="17" s="1"/>
  <c r="G230" i="2"/>
  <c r="AJ119" i="17" s="1"/>
  <c r="AP119" i="17" s="1"/>
  <c r="F230" i="2"/>
  <c r="AJ118" i="17" s="1"/>
  <c r="AO118" i="17" s="1"/>
  <c r="AJ145" i="17"/>
  <c r="AN145" i="17" s="1"/>
  <c r="AJ144" i="17"/>
  <c r="AQ144" i="17" s="1"/>
  <c r="AJ133" i="17"/>
  <c r="AL133" i="17" s="1"/>
  <c r="AJ132" i="17"/>
  <c r="G227" i="2"/>
  <c r="F227" i="2"/>
  <c r="AP131" i="17" l="1"/>
  <c r="AQ131" i="17"/>
  <c r="AQ132" i="17"/>
  <c r="AP132" i="17"/>
  <c r="AO131" i="17"/>
  <c r="AK118" i="17"/>
  <c r="AL118" i="17"/>
  <c r="AN142" i="17"/>
  <c r="AO142" i="17"/>
  <c r="AM142" i="17"/>
  <c r="AN143" i="17"/>
  <c r="AO143" i="17"/>
  <c r="AQ143" i="17"/>
  <c r="AQ142" i="17"/>
  <c r="AK143" i="17"/>
  <c r="AK142" i="17"/>
  <c r="AL143" i="17"/>
  <c r="AL142" i="17"/>
  <c r="AM143" i="17"/>
  <c r="AL131" i="17"/>
  <c r="AM131" i="17"/>
  <c r="AN131" i="17"/>
  <c r="AQ130" i="17"/>
  <c r="AK130" i="17"/>
  <c r="AL130" i="17"/>
  <c r="AM130" i="17"/>
  <c r="AN130" i="17"/>
  <c r="AO130" i="17"/>
  <c r="AK119" i="17"/>
  <c r="AL119" i="17"/>
  <c r="AQ119" i="17"/>
  <c r="AM119" i="17"/>
  <c r="AN119" i="17"/>
  <c r="AO119" i="17"/>
  <c r="AP118" i="17"/>
  <c r="AQ118" i="17"/>
  <c r="AM118" i="17"/>
  <c r="AN118" i="17"/>
  <c r="AP145" i="17"/>
  <c r="AQ145" i="17"/>
  <c r="AM133" i="17"/>
  <c r="AO133" i="17"/>
  <c r="AN133" i="17"/>
  <c r="AO132" i="17"/>
  <c r="AK133" i="17"/>
  <c r="AN132" i="17"/>
  <c r="AQ133" i="17"/>
  <c r="AM132" i="17"/>
  <c r="AP133" i="17"/>
  <c r="AL132" i="17"/>
  <c r="AO144" i="17"/>
  <c r="AO145" i="17"/>
  <c r="AK132" i="17"/>
  <c r="AN144" i="17"/>
  <c r="AP144" i="17"/>
  <c r="AK144" i="17"/>
  <c r="AK145" i="17"/>
  <c r="AL144" i="17"/>
  <c r="AL145" i="17"/>
  <c r="AM144" i="17"/>
  <c r="AM145" i="17"/>
  <c r="F262" i="2" l="1"/>
  <c r="O57" i="37" l="1"/>
  <c r="O51" i="37"/>
  <c r="O55" i="33"/>
  <c r="O56" i="33"/>
  <c r="O63" i="33"/>
  <c r="O58" i="37"/>
  <c r="O59" i="37"/>
  <c r="O57" i="33"/>
  <c r="O52" i="37"/>
  <c r="O60" i="37"/>
  <c r="O58" i="33"/>
  <c r="O53" i="37"/>
  <c r="O61" i="37"/>
  <c r="O51" i="33"/>
  <c r="O59" i="33"/>
  <c r="O54" i="37"/>
  <c r="O62" i="37"/>
  <c r="O54" i="33"/>
  <c r="O60" i="33"/>
  <c r="O55" i="37"/>
  <c r="O63" i="37"/>
  <c r="O53" i="33"/>
  <c r="O61" i="33"/>
  <c r="O56" i="37"/>
  <c r="O52" i="33"/>
  <c r="O62" i="33"/>
  <c r="AI304" i="17"/>
  <c r="AI305" i="17" s="1"/>
  <c r="AI306" i="17" s="1"/>
  <c r="AI307" i="17" s="1"/>
  <c r="AI308" i="17" s="1"/>
  <c r="AI309" i="17" s="1"/>
  <c r="AI310" i="17" s="1"/>
  <c r="AI311" i="17" s="1"/>
  <c r="AI312" i="17" s="1"/>
  <c r="AI313" i="17" s="1"/>
  <c r="AI314" i="17" s="1"/>
  <c r="AI315" i="17" s="1"/>
  <c r="AI316" i="17" s="1"/>
  <c r="AI317" i="17" s="1"/>
  <c r="AI318" i="17" s="1"/>
  <c r="AI285" i="17" l="1"/>
  <c r="AI286" i="17" s="1"/>
  <c r="AI287" i="17" s="1"/>
  <c r="AI288" i="17" s="1"/>
  <c r="AI289" i="17" s="1"/>
  <c r="AI290" i="17" s="1"/>
  <c r="AI291" i="17" s="1"/>
  <c r="AI292" i="17" s="1"/>
  <c r="AI293" i="17" s="1"/>
  <c r="AI294" i="17" s="1"/>
  <c r="AI295" i="17" s="1"/>
  <c r="AI296" i="17" s="1"/>
  <c r="AI297" i="17" s="1"/>
  <c r="AI298" i="17" s="1"/>
  <c r="AI299" i="17" s="1"/>
  <c r="K48" i="31"/>
  <c r="N49" i="16" l="1"/>
  <c r="N48" i="16"/>
  <c r="N47" i="16"/>
  <c r="N45" i="16"/>
  <c r="N42" i="16"/>
  <c r="N41" i="16"/>
  <c r="N40" i="16"/>
  <c r="N38" i="16"/>
  <c r="N35" i="16"/>
  <c r="N33" i="16"/>
  <c r="N32" i="16"/>
  <c r="N26" i="16"/>
  <c r="N25" i="16"/>
  <c r="N24" i="16"/>
  <c r="N22" i="16"/>
  <c r="N19" i="16"/>
  <c r="N18" i="16"/>
  <c r="N17" i="16"/>
  <c r="N15" i="16"/>
  <c r="N12" i="16"/>
  <c r="N10" i="16"/>
  <c r="N9" i="16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D249" i="2"/>
  <c r="I18" i="9" s="1"/>
  <c r="D248" i="2"/>
  <c r="I197" i="9" s="1"/>
  <c r="D247" i="2"/>
  <c r="I52" i="9" s="1"/>
  <c r="D246" i="2"/>
  <c r="I159" i="9" s="1"/>
  <c r="D245" i="2"/>
  <c r="I170" i="9" s="1"/>
  <c r="D244" i="2"/>
  <c r="I193" i="9" s="1"/>
  <c r="D243" i="2"/>
  <c r="I156" i="9" s="1"/>
  <c r="D242" i="2"/>
  <c r="I143" i="9" s="1"/>
  <c r="D241" i="2"/>
  <c r="I106" i="9" s="1"/>
  <c r="D240" i="2"/>
  <c r="I189" i="9" s="1"/>
  <c r="D239" i="2"/>
  <c r="I164" i="9" s="1"/>
  <c r="D238" i="2"/>
  <c r="I175" i="9" s="1"/>
  <c r="G180" i="2"/>
  <c r="F180" i="2"/>
  <c r="D180" i="2"/>
  <c r="C180" i="2"/>
  <c r="G179" i="2"/>
  <c r="F179" i="2"/>
  <c r="D179" i="2"/>
  <c r="C179" i="2"/>
  <c r="G178" i="2"/>
  <c r="F178" i="2"/>
  <c r="D178" i="2"/>
  <c r="C178" i="2"/>
  <c r="G177" i="2"/>
  <c r="F177" i="2"/>
  <c r="D177" i="2"/>
  <c r="C177" i="2"/>
  <c r="G176" i="2"/>
  <c r="F176" i="2"/>
  <c r="D176" i="2"/>
  <c r="C176" i="2"/>
  <c r="G175" i="2"/>
  <c r="F175" i="2"/>
  <c r="D175" i="2"/>
  <c r="C175" i="2"/>
  <c r="G174" i="2"/>
  <c r="F174" i="2"/>
  <c r="D174" i="2"/>
  <c r="C174" i="2"/>
  <c r="G173" i="2"/>
  <c r="F173" i="2"/>
  <c r="D173" i="2"/>
  <c r="C173" i="2"/>
  <c r="G172" i="2"/>
  <c r="F172" i="2"/>
  <c r="D172" i="2"/>
  <c r="C172" i="2"/>
  <c r="G171" i="2"/>
  <c r="F171" i="2"/>
  <c r="D171" i="2"/>
  <c r="C171" i="2"/>
  <c r="G170" i="2"/>
  <c r="F170" i="2"/>
  <c r="D170" i="2"/>
  <c r="C170" i="2"/>
  <c r="G169" i="2"/>
  <c r="F169" i="2"/>
  <c r="D169" i="2"/>
  <c r="C169" i="2"/>
  <c r="G168" i="2"/>
  <c r="F168" i="2"/>
  <c r="D168" i="2"/>
  <c r="C168" i="2"/>
  <c r="G167" i="2"/>
  <c r="F167" i="2"/>
  <c r="D167" i="2"/>
  <c r="C167" i="2"/>
  <c r="G166" i="2"/>
  <c r="F166" i="2"/>
  <c r="D166" i="2"/>
  <c r="C166" i="2"/>
  <c r="G165" i="2"/>
  <c r="F165" i="2"/>
  <c r="D165" i="2"/>
  <c r="C165" i="2"/>
  <c r="J154" i="2"/>
  <c r="I154" i="2"/>
  <c r="H154" i="2"/>
  <c r="G154" i="2"/>
  <c r="F154" i="2"/>
  <c r="E154" i="2"/>
  <c r="D154" i="2"/>
  <c r="C154" i="2"/>
  <c r="J153" i="2"/>
  <c r="I153" i="2"/>
  <c r="H153" i="2"/>
  <c r="G153" i="2"/>
  <c r="F153" i="2"/>
  <c r="E153" i="2"/>
  <c r="D153" i="2"/>
  <c r="C153" i="2"/>
  <c r="J152" i="2"/>
  <c r="I152" i="2"/>
  <c r="H152" i="2"/>
  <c r="G152" i="2"/>
  <c r="F152" i="2"/>
  <c r="E152" i="2"/>
  <c r="D152" i="2"/>
  <c r="C152" i="2"/>
  <c r="J151" i="2"/>
  <c r="I151" i="2"/>
  <c r="H151" i="2"/>
  <c r="G151" i="2"/>
  <c r="F151" i="2"/>
  <c r="E151" i="2"/>
  <c r="D151" i="2"/>
  <c r="C151" i="2"/>
  <c r="J150" i="2"/>
  <c r="I150" i="2"/>
  <c r="H150" i="2"/>
  <c r="G150" i="2"/>
  <c r="F150" i="2"/>
  <c r="E150" i="2"/>
  <c r="D150" i="2"/>
  <c r="C150" i="2"/>
  <c r="J149" i="2"/>
  <c r="I149" i="2"/>
  <c r="H149" i="2"/>
  <c r="G149" i="2"/>
  <c r="F149" i="2"/>
  <c r="E149" i="2"/>
  <c r="D149" i="2"/>
  <c r="C149" i="2"/>
  <c r="J148" i="2"/>
  <c r="I148" i="2"/>
  <c r="H148" i="2"/>
  <c r="G148" i="2"/>
  <c r="F148" i="2"/>
  <c r="E148" i="2"/>
  <c r="D148" i="2"/>
  <c r="C148" i="2"/>
  <c r="J147" i="2"/>
  <c r="I147" i="2"/>
  <c r="H147" i="2"/>
  <c r="G147" i="2"/>
  <c r="F147" i="2"/>
  <c r="E147" i="2"/>
  <c r="D147" i="2"/>
  <c r="C147" i="2"/>
  <c r="J146" i="2"/>
  <c r="I146" i="2"/>
  <c r="H146" i="2"/>
  <c r="G146" i="2"/>
  <c r="F146" i="2"/>
  <c r="E146" i="2"/>
  <c r="D146" i="2"/>
  <c r="C146" i="2"/>
  <c r="J145" i="2"/>
  <c r="I145" i="2"/>
  <c r="H145" i="2"/>
  <c r="G145" i="2"/>
  <c r="F145" i="2"/>
  <c r="E145" i="2"/>
  <c r="D145" i="2"/>
  <c r="C145" i="2"/>
  <c r="J144" i="2"/>
  <c r="I144" i="2"/>
  <c r="H144" i="2"/>
  <c r="G144" i="2"/>
  <c r="F144" i="2"/>
  <c r="E144" i="2"/>
  <c r="D144" i="2"/>
  <c r="C144" i="2"/>
  <c r="J143" i="2"/>
  <c r="I143" i="2"/>
  <c r="H143" i="2"/>
  <c r="G143" i="2"/>
  <c r="F143" i="2"/>
  <c r="E143" i="2"/>
  <c r="D143" i="2"/>
  <c r="C143" i="2"/>
  <c r="J142" i="2"/>
  <c r="I142" i="2"/>
  <c r="H142" i="2"/>
  <c r="G142" i="2"/>
  <c r="F142" i="2"/>
  <c r="E142" i="2"/>
  <c r="D142" i="2"/>
  <c r="C142" i="2"/>
  <c r="J141" i="2"/>
  <c r="I141" i="2"/>
  <c r="H141" i="2"/>
  <c r="G141" i="2"/>
  <c r="F141" i="2"/>
  <c r="E141" i="2"/>
  <c r="D141" i="2"/>
  <c r="C141" i="2"/>
  <c r="J140" i="2"/>
  <c r="I140" i="2"/>
  <c r="H140" i="2"/>
  <c r="G140" i="2"/>
  <c r="F140" i="2"/>
  <c r="E140" i="2"/>
  <c r="D140" i="2"/>
  <c r="C140" i="2"/>
  <c r="J139" i="2"/>
  <c r="I139" i="2"/>
  <c r="H139" i="2"/>
  <c r="G139" i="2"/>
  <c r="F139" i="2"/>
  <c r="E139" i="2"/>
  <c r="D139" i="2"/>
  <c r="C139" i="2"/>
  <c r="F23" i="37"/>
  <c r="BA299" i="17" s="1"/>
  <c r="F8" i="37"/>
  <c r="BA284" i="17" s="1"/>
  <c r="F49" i="2"/>
  <c r="C23" i="36" s="1"/>
  <c r="E38" i="2"/>
  <c r="E37" i="2"/>
  <c r="E36" i="2"/>
  <c r="C42" i="33" s="1"/>
  <c r="E35" i="2"/>
  <c r="E34" i="2"/>
  <c r="E33" i="2"/>
  <c r="E32" i="2"/>
  <c r="E31" i="2"/>
  <c r="C37" i="33" s="1"/>
  <c r="E30" i="2"/>
  <c r="E29" i="2"/>
  <c r="E28" i="2"/>
  <c r="C34" i="32" s="1"/>
  <c r="E27" i="2"/>
  <c r="E26" i="2"/>
  <c r="E25" i="2"/>
  <c r="E24" i="2"/>
  <c r="C29" i="36"/>
  <c r="M63" i="37"/>
  <c r="P63" i="37" s="1"/>
  <c r="K63" i="37"/>
  <c r="J63" i="37"/>
  <c r="H63" i="37"/>
  <c r="F63" i="37"/>
  <c r="E63" i="37"/>
  <c r="D63" i="37"/>
  <c r="M62" i="37"/>
  <c r="K62" i="37"/>
  <c r="J62" i="37"/>
  <c r="H62" i="37"/>
  <c r="F62" i="37"/>
  <c r="E62" i="37"/>
  <c r="D62" i="37"/>
  <c r="M61" i="37"/>
  <c r="K61" i="37"/>
  <c r="J61" i="37"/>
  <c r="H61" i="37"/>
  <c r="F61" i="37"/>
  <c r="E61" i="37"/>
  <c r="D61" i="37"/>
  <c r="M60" i="37"/>
  <c r="K60" i="37"/>
  <c r="J60" i="37"/>
  <c r="H60" i="37"/>
  <c r="F60" i="37"/>
  <c r="E60" i="37"/>
  <c r="D60" i="37"/>
  <c r="M59" i="37"/>
  <c r="K59" i="37"/>
  <c r="J59" i="37"/>
  <c r="H59" i="37"/>
  <c r="F59" i="37"/>
  <c r="E59" i="37"/>
  <c r="D59" i="37"/>
  <c r="M58" i="37"/>
  <c r="K58" i="37"/>
  <c r="J58" i="37"/>
  <c r="H58" i="37"/>
  <c r="F58" i="37"/>
  <c r="E58" i="37"/>
  <c r="D58" i="37"/>
  <c r="M57" i="37"/>
  <c r="K57" i="37"/>
  <c r="J57" i="37"/>
  <c r="H57" i="37"/>
  <c r="F57" i="37"/>
  <c r="E57" i="37"/>
  <c r="D57" i="37"/>
  <c r="M56" i="37"/>
  <c r="K56" i="37"/>
  <c r="J56" i="37"/>
  <c r="H56" i="37"/>
  <c r="F56" i="37"/>
  <c r="E56" i="37"/>
  <c r="D56" i="37"/>
  <c r="M55" i="37"/>
  <c r="P55" i="37" s="1"/>
  <c r="K55" i="37"/>
  <c r="J55" i="37"/>
  <c r="H55" i="37"/>
  <c r="F55" i="37"/>
  <c r="E55" i="37"/>
  <c r="D55" i="37"/>
  <c r="M54" i="37"/>
  <c r="K54" i="37"/>
  <c r="J54" i="37"/>
  <c r="H54" i="37"/>
  <c r="F54" i="37"/>
  <c r="E54" i="37"/>
  <c r="D54" i="37"/>
  <c r="M53" i="37"/>
  <c r="K53" i="37"/>
  <c r="J53" i="37"/>
  <c r="H53" i="37"/>
  <c r="F53" i="37"/>
  <c r="E53" i="37"/>
  <c r="D53" i="37"/>
  <c r="M52" i="37"/>
  <c r="K52" i="37"/>
  <c r="J52" i="37"/>
  <c r="H52" i="37"/>
  <c r="F52" i="37"/>
  <c r="E52" i="37"/>
  <c r="D52" i="37"/>
  <c r="M51" i="37"/>
  <c r="K51" i="37"/>
  <c r="J51" i="37"/>
  <c r="H51" i="37"/>
  <c r="F51" i="37"/>
  <c r="E51" i="37"/>
  <c r="D51" i="37"/>
  <c r="M50" i="37"/>
  <c r="K50" i="37"/>
  <c r="J50" i="37"/>
  <c r="H50" i="37"/>
  <c r="F50" i="37"/>
  <c r="E50" i="37"/>
  <c r="D50" i="37"/>
  <c r="M49" i="37"/>
  <c r="K49" i="37"/>
  <c r="J49" i="37"/>
  <c r="H49" i="37"/>
  <c r="F49" i="37"/>
  <c r="E49" i="37"/>
  <c r="D49" i="37"/>
  <c r="M48" i="37"/>
  <c r="K48" i="37"/>
  <c r="J48" i="37"/>
  <c r="H48" i="37"/>
  <c r="F48" i="37"/>
  <c r="E48" i="37"/>
  <c r="D48" i="37"/>
  <c r="G44" i="37"/>
  <c r="D44" i="37"/>
  <c r="G43" i="37"/>
  <c r="D43" i="37"/>
  <c r="G42" i="37"/>
  <c r="D42" i="37"/>
  <c r="G41" i="37"/>
  <c r="D41" i="37"/>
  <c r="G40" i="37"/>
  <c r="D40" i="37"/>
  <c r="G39" i="37"/>
  <c r="D39" i="37"/>
  <c r="G38" i="37"/>
  <c r="D38" i="37"/>
  <c r="G37" i="37"/>
  <c r="D37" i="37"/>
  <c r="G36" i="37"/>
  <c r="D36" i="37"/>
  <c r="G35" i="37"/>
  <c r="D35" i="37"/>
  <c r="G34" i="37"/>
  <c r="D34" i="37"/>
  <c r="D33" i="37"/>
  <c r="D32" i="37"/>
  <c r="D31" i="37"/>
  <c r="D30" i="37"/>
  <c r="D29" i="37"/>
  <c r="M23" i="37"/>
  <c r="D23" i="37"/>
  <c r="M22" i="37"/>
  <c r="D22" i="37"/>
  <c r="M21" i="37"/>
  <c r="D21" i="37"/>
  <c r="M20" i="37"/>
  <c r="D20" i="37"/>
  <c r="M19" i="37"/>
  <c r="D19" i="37"/>
  <c r="M18" i="37"/>
  <c r="F18" i="37"/>
  <c r="BA294" i="17" s="1"/>
  <c r="D18" i="37"/>
  <c r="M17" i="37"/>
  <c r="F17" i="37"/>
  <c r="BA293" i="17" s="1"/>
  <c r="D17" i="37"/>
  <c r="M16" i="37"/>
  <c r="F16" i="37"/>
  <c r="BA292" i="17" s="1"/>
  <c r="D16" i="37"/>
  <c r="M15" i="37"/>
  <c r="D15" i="37"/>
  <c r="M14" i="37"/>
  <c r="D14" i="37"/>
  <c r="M13" i="37"/>
  <c r="D13" i="37"/>
  <c r="M12" i="37"/>
  <c r="D12" i="37"/>
  <c r="M11" i="37"/>
  <c r="F11" i="37"/>
  <c r="BA287" i="17" s="1"/>
  <c r="D11" i="37"/>
  <c r="M10" i="37"/>
  <c r="D10" i="37"/>
  <c r="M9" i="37"/>
  <c r="D9" i="37"/>
  <c r="M8" i="37"/>
  <c r="D8" i="37"/>
  <c r="Z2" i="37"/>
  <c r="M63" i="36"/>
  <c r="K63" i="36"/>
  <c r="J63" i="36"/>
  <c r="H63" i="36"/>
  <c r="F63" i="36"/>
  <c r="E63" i="36"/>
  <c r="D63" i="36"/>
  <c r="M62" i="36"/>
  <c r="K62" i="36"/>
  <c r="J62" i="36"/>
  <c r="H62" i="36"/>
  <c r="F62" i="36"/>
  <c r="E62" i="36"/>
  <c r="D62" i="36"/>
  <c r="M61" i="36"/>
  <c r="K61" i="36"/>
  <c r="J61" i="36"/>
  <c r="H61" i="36"/>
  <c r="F61" i="36"/>
  <c r="E61" i="36"/>
  <c r="D61" i="36"/>
  <c r="M60" i="36"/>
  <c r="K60" i="36"/>
  <c r="J60" i="36"/>
  <c r="H60" i="36"/>
  <c r="F60" i="36"/>
  <c r="E60" i="36"/>
  <c r="D60" i="36"/>
  <c r="M59" i="36"/>
  <c r="K59" i="36"/>
  <c r="J59" i="36"/>
  <c r="H59" i="36"/>
  <c r="F59" i="36"/>
  <c r="E59" i="36"/>
  <c r="D59" i="36"/>
  <c r="M58" i="36"/>
  <c r="K58" i="36"/>
  <c r="J58" i="36"/>
  <c r="H58" i="36"/>
  <c r="F58" i="36"/>
  <c r="E58" i="36"/>
  <c r="D58" i="36"/>
  <c r="M57" i="36"/>
  <c r="K57" i="36"/>
  <c r="J57" i="36"/>
  <c r="H57" i="36"/>
  <c r="F57" i="36"/>
  <c r="E57" i="36"/>
  <c r="D57" i="36"/>
  <c r="M56" i="36"/>
  <c r="K56" i="36"/>
  <c r="J56" i="36"/>
  <c r="H56" i="36"/>
  <c r="F56" i="36"/>
  <c r="E56" i="36"/>
  <c r="D56" i="36"/>
  <c r="M55" i="36"/>
  <c r="K55" i="36"/>
  <c r="J55" i="36"/>
  <c r="H55" i="36"/>
  <c r="F55" i="36"/>
  <c r="E55" i="36"/>
  <c r="D55" i="36"/>
  <c r="M54" i="36"/>
  <c r="K54" i="36"/>
  <c r="J54" i="36"/>
  <c r="H54" i="36"/>
  <c r="F54" i="36"/>
  <c r="E54" i="36"/>
  <c r="D54" i="36"/>
  <c r="M53" i="36"/>
  <c r="K53" i="36"/>
  <c r="J53" i="36"/>
  <c r="H53" i="36"/>
  <c r="F53" i="36"/>
  <c r="E53" i="36"/>
  <c r="D53" i="36"/>
  <c r="M52" i="36"/>
  <c r="K52" i="36"/>
  <c r="J52" i="36"/>
  <c r="H52" i="36"/>
  <c r="F52" i="36"/>
  <c r="E52" i="36"/>
  <c r="D52" i="36"/>
  <c r="M51" i="36"/>
  <c r="K51" i="36"/>
  <c r="J51" i="36"/>
  <c r="H51" i="36"/>
  <c r="F51" i="36"/>
  <c r="E51" i="36"/>
  <c r="D51" i="36"/>
  <c r="M50" i="36"/>
  <c r="K50" i="36"/>
  <c r="J50" i="36"/>
  <c r="H50" i="36"/>
  <c r="F50" i="36"/>
  <c r="E50" i="36"/>
  <c r="D50" i="36"/>
  <c r="M49" i="36"/>
  <c r="K49" i="36"/>
  <c r="J49" i="36"/>
  <c r="H49" i="36"/>
  <c r="F49" i="36"/>
  <c r="E49" i="36"/>
  <c r="D49" i="36"/>
  <c r="M48" i="36"/>
  <c r="K48" i="36"/>
  <c r="J48" i="36"/>
  <c r="H48" i="36"/>
  <c r="F48" i="36"/>
  <c r="E48" i="36"/>
  <c r="D48" i="36"/>
  <c r="G44" i="36"/>
  <c r="D44" i="36"/>
  <c r="G43" i="36"/>
  <c r="D43" i="36"/>
  <c r="G42" i="36"/>
  <c r="D42" i="36"/>
  <c r="G41" i="36"/>
  <c r="D41" i="36"/>
  <c r="G40" i="36"/>
  <c r="D40" i="36"/>
  <c r="G39" i="36"/>
  <c r="D39" i="36"/>
  <c r="G38" i="36"/>
  <c r="D38" i="36"/>
  <c r="G37" i="36"/>
  <c r="D37" i="36"/>
  <c r="G36" i="36"/>
  <c r="D36" i="36"/>
  <c r="G35" i="36"/>
  <c r="D35" i="36"/>
  <c r="G34" i="36"/>
  <c r="D34" i="36"/>
  <c r="D33" i="36"/>
  <c r="D32" i="36"/>
  <c r="D31" i="36"/>
  <c r="D30" i="36"/>
  <c r="D29" i="36"/>
  <c r="M23" i="36"/>
  <c r="D23" i="36"/>
  <c r="M22" i="36"/>
  <c r="D22" i="36"/>
  <c r="M21" i="36"/>
  <c r="D21" i="36"/>
  <c r="M20" i="36"/>
  <c r="D20" i="36"/>
  <c r="M19" i="36"/>
  <c r="D19" i="36"/>
  <c r="M18" i="36"/>
  <c r="D18" i="36"/>
  <c r="M17" i="36"/>
  <c r="D17" i="36"/>
  <c r="M16" i="36"/>
  <c r="D16" i="36"/>
  <c r="M15" i="36"/>
  <c r="D15" i="36"/>
  <c r="M14" i="36"/>
  <c r="D14" i="36"/>
  <c r="M13" i="36"/>
  <c r="F13" i="36"/>
  <c r="D13" i="36"/>
  <c r="M12" i="36"/>
  <c r="F12" i="36"/>
  <c r="D12" i="36"/>
  <c r="M11" i="36"/>
  <c r="D11" i="36"/>
  <c r="M10" i="36"/>
  <c r="D10" i="36"/>
  <c r="M9" i="36"/>
  <c r="D9" i="36"/>
  <c r="M8" i="36"/>
  <c r="D8" i="36"/>
  <c r="Z2" i="36"/>
  <c r="M63" i="35"/>
  <c r="K63" i="35"/>
  <c r="J63" i="35"/>
  <c r="H63" i="35"/>
  <c r="F63" i="35"/>
  <c r="E63" i="35"/>
  <c r="D63" i="35"/>
  <c r="M62" i="35"/>
  <c r="K62" i="35"/>
  <c r="J62" i="35"/>
  <c r="H62" i="35"/>
  <c r="F62" i="35"/>
  <c r="E62" i="35"/>
  <c r="D62" i="35"/>
  <c r="M61" i="35"/>
  <c r="K61" i="35"/>
  <c r="J61" i="35"/>
  <c r="H61" i="35"/>
  <c r="F61" i="35"/>
  <c r="E61" i="35"/>
  <c r="D61" i="35"/>
  <c r="M60" i="35"/>
  <c r="K60" i="35"/>
  <c r="J60" i="35"/>
  <c r="H60" i="35"/>
  <c r="F60" i="35"/>
  <c r="E60" i="35"/>
  <c r="D60" i="35"/>
  <c r="M59" i="35"/>
  <c r="K59" i="35"/>
  <c r="J59" i="35"/>
  <c r="H59" i="35"/>
  <c r="F59" i="35"/>
  <c r="E59" i="35"/>
  <c r="D59" i="35"/>
  <c r="M58" i="35"/>
  <c r="K58" i="35"/>
  <c r="J58" i="35"/>
  <c r="H58" i="35"/>
  <c r="F58" i="35"/>
  <c r="E58" i="35"/>
  <c r="D58" i="35"/>
  <c r="M57" i="35"/>
  <c r="K57" i="35"/>
  <c r="J57" i="35"/>
  <c r="H57" i="35"/>
  <c r="F57" i="35"/>
  <c r="E57" i="35"/>
  <c r="D57" i="35"/>
  <c r="M56" i="35"/>
  <c r="K56" i="35"/>
  <c r="J56" i="35"/>
  <c r="H56" i="35"/>
  <c r="F56" i="35"/>
  <c r="E56" i="35"/>
  <c r="D56" i="35"/>
  <c r="M55" i="35"/>
  <c r="K55" i="35"/>
  <c r="J55" i="35"/>
  <c r="H55" i="35"/>
  <c r="F55" i="35"/>
  <c r="E55" i="35"/>
  <c r="D55" i="35"/>
  <c r="M54" i="35"/>
  <c r="K54" i="35"/>
  <c r="J54" i="35"/>
  <c r="H54" i="35"/>
  <c r="F54" i="35"/>
  <c r="E54" i="35"/>
  <c r="D54" i="35"/>
  <c r="M53" i="35"/>
  <c r="K53" i="35"/>
  <c r="J53" i="35"/>
  <c r="H53" i="35"/>
  <c r="F53" i="35"/>
  <c r="E53" i="35"/>
  <c r="D53" i="35"/>
  <c r="M52" i="35"/>
  <c r="K52" i="35"/>
  <c r="J52" i="35"/>
  <c r="H52" i="35"/>
  <c r="F52" i="35"/>
  <c r="E52" i="35"/>
  <c r="D52" i="35"/>
  <c r="M51" i="35"/>
  <c r="K51" i="35"/>
  <c r="J51" i="35"/>
  <c r="H51" i="35"/>
  <c r="F51" i="35"/>
  <c r="E51" i="35"/>
  <c r="D51" i="35"/>
  <c r="M50" i="35"/>
  <c r="K50" i="35"/>
  <c r="J50" i="35"/>
  <c r="H50" i="35"/>
  <c r="F50" i="35"/>
  <c r="E50" i="35"/>
  <c r="D50" i="35"/>
  <c r="M49" i="35"/>
  <c r="K49" i="35"/>
  <c r="J49" i="35"/>
  <c r="H49" i="35"/>
  <c r="F49" i="35"/>
  <c r="E49" i="35"/>
  <c r="D49" i="35"/>
  <c r="M48" i="35"/>
  <c r="K48" i="35"/>
  <c r="J48" i="35"/>
  <c r="H48" i="35"/>
  <c r="F48" i="35"/>
  <c r="E48" i="35"/>
  <c r="D48" i="35"/>
  <c r="G44" i="35"/>
  <c r="D44" i="35"/>
  <c r="G43" i="35"/>
  <c r="D43" i="35"/>
  <c r="G42" i="35"/>
  <c r="D42" i="35"/>
  <c r="G41" i="35"/>
  <c r="D41" i="35"/>
  <c r="G40" i="35"/>
  <c r="D40" i="35"/>
  <c r="G39" i="35"/>
  <c r="D39" i="35"/>
  <c r="G38" i="35"/>
  <c r="D38" i="35"/>
  <c r="G37" i="35"/>
  <c r="D37" i="35"/>
  <c r="G36" i="35"/>
  <c r="D36" i="35"/>
  <c r="G35" i="35"/>
  <c r="D35" i="35"/>
  <c r="G34" i="35"/>
  <c r="D34" i="35"/>
  <c r="D33" i="35"/>
  <c r="D32" i="35"/>
  <c r="D31" i="35"/>
  <c r="D30" i="35"/>
  <c r="D29" i="35"/>
  <c r="M23" i="35"/>
  <c r="F23" i="35"/>
  <c r="D23" i="35"/>
  <c r="M22" i="35"/>
  <c r="D22" i="35"/>
  <c r="M21" i="35"/>
  <c r="D21" i="35"/>
  <c r="M20" i="35"/>
  <c r="D20" i="35"/>
  <c r="M19" i="35"/>
  <c r="D19" i="35"/>
  <c r="M18" i="35"/>
  <c r="D18" i="35"/>
  <c r="M17" i="35"/>
  <c r="D17" i="35"/>
  <c r="M16" i="35"/>
  <c r="D16" i="35"/>
  <c r="M15" i="35"/>
  <c r="D15" i="35"/>
  <c r="M14" i="35"/>
  <c r="D14" i="35"/>
  <c r="M13" i="35"/>
  <c r="D13" i="35"/>
  <c r="M12" i="35"/>
  <c r="D12" i="35"/>
  <c r="M11" i="35"/>
  <c r="D11" i="35"/>
  <c r="M10" i="35"/>
  <c r="F10" i="35"/>
  <c r="D10" i="35"/>
  <c r="M9" i="35"/>
  <c r="D9" i="35"/>
  <c r="M8" i="35"/>
  <c r="D8" i="35"/>
  <c r="Z2" i="35"/>
  <c r="M63" i="34"/>
  <c r="K63" i="34"/>
  <c r="J63" i="34"/>
  <c r="H63" i="34"/>
  <c r="F63" i="34"/>
  <c r="E63" i="34"/>
  <c r="D63" i="34"/>
  <c r="M62" i="34"/>
  <c r="K62" i="34"/>
  <c r="J62" i="34"/>
  <c r="H62" i="34"/>
  <c r="F62" i="34"/>
  <c r="E62" i="34"/>
  <c r="D62" i="34"/>
  <c r="M61" i="34"/>
  <c r="K61" i="34"/>
  <c r="J61" i="34"/>
  <c r="H61" i="34"/>
  <c r="F61" i="34"/>
  <c r="E61" i="34"/>
  <c r="D61" i="34"/>
  <c r="M60" i="34"/>
  <c r="K60" i="34"/>
  <c r="J60" i="34"/>
  <c r="H60" i="34"/>
  <c r="F60" i="34"/>
  <c r="E60" i="34"/>
  <c r="D60" i="34"/>
  <c r="M59" i="34"/>
  <c r="K59" i="34"/>
  <c r="J59" i="34"/>
  <c r="H59" i="34"/>
  <c r="F59" i="34"/>
  <c r="E59" i="34"/>
  <c r="D59" i="34"/>
  <c r="M58" i="34"/>
  <c r="K58" i="34"/>
  <c r="J58" i="34"/>
  <c r="H58" i="34"/>
  <c r="F58" i="34"/>
  <c r="E58" i="34"/>
  <c r="D58" i="34"/>
  <c r="M57" i="34"/>
  <c r="K57" i="34"/>
  <c r="J57" i="34"/>
  <c r="H57" i="34"/>
  <c r="F57" i="34"/>
  <c r="E57" i="34"/>
  <c r="D57" i="34"/>
  <c r="M56" i="34"/>
  <c r="K56" i="34"/>
  <c r="J56" i="34"/>
  <c r="H56" i="34"/>
  <c r="F56" i="34"/>
  <c r="E56" i="34"/>
  <c r="D56" i="34"/>
  <c r="M55" i="34"/>
  <c r="K55" i="34"/>
  <c r="J55" i="34"/>
  <c r="H55" i="34"/>
  <c r="F55" i="34"/>
  <c r="E55" i="34"/>
  <c r="D55" i="34"/>
  <c r="M54" i="34"/>
  <c r="K54" i="34"/>
  <c r="J54" i="34"/>
  <c r="H54" i="34"/>
  <c r="F54" i="34"/>
  <c r="E54" i="34"/>
  <c r="D54" i="34"/>
  <c r="M53" i="34"/>
  <c r="K53" i="34"/>
  <c r="J53" i="34"/>
  <c r="H53" i="34"/>
  <c r="F53" i="34"/>
  <c r="E53" i="34"/>
  <c r="D53" i="34"/>
  <c r="M52" i="34"/>
  <c r="K52" i="34"/>
  <c r="J52" i="34"/>
  <c r="H52" i="34"/>
  <c r="F52" i="34"/>
  <c r="E52" i="34"/>
  <c r="D52" i="34"/>
  <c r="M51" i="34"/>
  <c r="K51" i="34"/>
  <c r="J51" i="34"/>
  <c r="H51" i="34"/>
  <c r="F51" i="34"/>
  <c r="E51" i="34"/>
  <c r="D51" i="34"/>
  <c r="M50" i="34"/>
  <c r="K50" i="34"/>
  <c r="J50" i="34"/>
  <c r="H50" i="34"/>
  <c r="F50" i="34"/>
  <c r="E50" i="34"/>
  <c r="D50" i="34"/>
  <c r="M49" i="34"/>
  <c r="K49" i="34"/>
  <c r="J49" i="34"/>
  <c r="H49" i="34"/>
  <c r="F49" i="34"/>
  <c r="E49" i="34"/>
  <c r="D49" i="34"/>
  <c r="M48" i="34"/>
  <c r="K48" i="34"/>
  <c r="J48" i="34"/>
  <c r="H48" i="34"/>
  <c r="F48" i="34"/>
  <c r="E48" i="34"/>
  <c r="D48" i="34"/>
  <c r="G44" i="34"/>
  <c r="D44" i="34"/>
  <c r="G43" i="34"/>
  <c r="D43" i="34"/>
  <c r="G42" i="34"/>
  <c r="D42" i="34"/>
  <c r="G41" i="34"/>
  <c r="D41" i="34"/>
  <c r="G40" i="34"/>
  <c r="D40" i="34"/>
  <c r="G39" i="34"/>
  <c r="D39" i="34"/>
  <c r="G38" i="34"/>
  <c r="D38" i="34"/>
  <c r="G37" i="34"/>
  <c r="D37" i="34"/>
  <c r="G36" i="34"/>
  <c r="D36" i="34"/>
  <c r="G35" i="34"/>
  <c r="D35" i="34"/>
  <c r="G34" i="34"/>
  <c r="D34" i="34"/>
  <c r="D33" i="34"/>
  <c r="D32" i="34"/>
  <c r="D31" i="34"/>
  <c r="D30" i="34"/>
  <c r="D29" i="34"/>
  <c r="M23" i="34"/>
  <c r="D23" i="34"/>
  <c r="M22" i="34"/>
  <c r="D22" i="34"/>
  <c r="M21" i="34"/>
  <c r="D21" i="34"/>
  <c r="M20" i="34"/>
  <c r="D20" i="34"/>
  <c r="M19" i="34"/>
  <c r="D19" i="34"/>
  <c r="M18" i="34"/>
  <c r="D18" i="34"/>
  <c r="M17" i="34"/>
  <c r="D17" i="34"/>
  <c r="M16" i="34"/>
  <c r="D16" i="34"/>
  <c r="M15" i="34"/>
  <c r="D15" i="34"/>
  <c r="M14" i="34"/>
  <c r="D14" i="34"/>
  <c r="M13" i="34"/>
  <c r="D13" i="34"/>
  <c r="M12" i="34"/>
  <c r="F12" i="34"/>
  <c r="AV288" i="17" s="1"/>
  <c r="D12" i="34"/>
  <c r="M11" i="34"/>
  <c r="F11" i="34"/>
  <c r="AV287" i="17" s="1"/>
  <c r="D11" i="34"/>
  <c r="M10" i="34"/>
  <c r="F10" i="34"/>
  <c r="AV286" i="17" s="1"/>
  <c r="D10" i="34"/>
  <c r="M9" i="34"/>
  <c r="D9" i="34"/>
  <c r="M8" i="34"/>
  <c r="D8" i="34"/>
  <c r="Z2" i="34"/>
  <c r="M63" i="33"/>
  <c r="K63" i="33"/>
  <c r="J63" i="33"/>
  <c r="I63" i="33"/>
  <c r="H63" i="33"/>
  <c r="F63" i="33"/>
  <c r="E63" i="33"/>
  <c r="D63" i="33"/>
  <c r="M62" i="33"/>
  <c r="K62" i="33"/>
  <c r="J62" i="33"/>
  <c r="I62" i="33"/>
  <c r="H62" i="33"/>
  <c r="F62" i="33"/>
  <c r="E62" i="33"/>
  <c r="D62" i="33"/>
  <c r="M61" i="33"/>
  <c r="K61" i="33"/>
  <c r="J61" i="33"/>
  <c r="I61" i="33"/>
  <c r="H61" i="33"/>
  <c r="F61" i="33"/>
  <c r="E61" i="33"/>
  <c r="D61" i="33"/>
  <c r="M60" i="33"/>
  <c r="K60" i="33"/>
  <c r="J60" i="33"/>
  <c r="I60" i="33"/>
  <c r="H60" i="33"/>
  <c r="F60" i="33"/>
  <c r="E60" i="33"/>
  <c r="D60" i="33"/>
  <c r="M59" i="33"/>
  <c r="K59" i="33"/>
  <c r="J59" i="33"/>
  <c r="I59" i="33"/>
  <c r="H59" i="33"/>
  <c r="F59" i="33"/>
  <c r="E59" i="33"/>
  <c r="D59" i="33"/>
  <c r="M58" i="33"/>
  <c r="K58" i="33"/>
  <c r="J58" i="33"/>
  <c r="I58" i="33"/>
  <c r="H58" i="33"/>
  <c r="F58" i="33"/>
  <c r="E58" i="33"/>
  <c r="D58" i="33"/>
  <c r="M57" i="33"/>
  <c r="K57" i="33"/>
  <c r="J57" i="33"/>
  <c r="I57" i="33"/>
  <c r="H57" i="33"/>
  <c r="F57" i="33"/>
  <c r="E57" i="33"/>
  <c r="D57" i="33"/>
  <c r="M56" i="33"/>
  <c r="K56" i="33"/>
  <c r="J56" i="33"/>
  <c r="I56" i="33"/>
  <c r="H56" i="33"/>
  <c r="F56" i="33"/>
  <c r="E56" i="33"/>
  <c r="D56" i="33"/>
  <c r="M55" i="33"/>
  <c r="K55" i="33"/>
  <c r="J55" i="33"/>
  <c r="I55" i="33"/>
  <c r="H55" i="33"/>
  <c r="F55" i="33"/>
  <c r="E55" i="33"/>
  <c r="D55" i="33"/>
  <c r="M54" i="33"/>
  <c r="K54" i="33"/>
  <c r="J54" i="33"/>
  <c r="I54" i="33"/>
  <c r="H54" i="33"/>
  <c r="F54" i="33"/>
  <c r="E54" i="33"/>
  <c r="D54" i="33"/>
  <c r="M53" i="33"/>
  <c r="K53" i="33"/>
  <c r="J53" i="33"/>
  <c r="I53" i="33"/>
  <c r="H53" i="33"/>
  <c r="F53" i="33"/>
  <c r="E53" i="33"/>
  <c r="D53" i="33"/>
  <c r="M52" i="33"/>
  <c r="K52" i="33"/>
  <c r="J52" i="33"/>
  <c r="I52" i="33"/>
  <c r="H52" i="33"/>
  <c r="F52" i="33"/>
  <c r="E52" i="33"/>
  <c r="D52" i="33"/>
  <c r="M51" i="33"/>
  <c r="K51" i="33"/>
  <c r="J51" i="33"/>
  <c r="I51" i="33"/>
  <c r="H51" i="33"/>
  <c r="F51" i="33"/>
  <c r="E51" i="33"/>
  <c r="D51" i="33"/>
  <c r="M50" i="33"/>
  <c r="K50" i="33"/>
  <c r="J50" i="33"/>
  <c r="I50" i="33"/>
  <c r="H50" i="33"/>
  <c r="F50" i="33"/>
  <c r="E50" i="33"/>
  <c r="D50" i="33"/>
  <c r="M49" i="33"/>
  <c r="K49" i="33"/>
  <c r="J49" i="33"/>
  <c r="I49" i="33"/>
  <c r="H49" i="33"/>
  <c r="F49" i="33"/>
  <c r="E49" i="33"/>
  <c r="D49" i="33"/>
  <c r="M48" i="33"/>
  <c r="K48" i="33"/>
  <c r="J48" i="33"/>
  <c r="I48" i="33"/>
  <c r="H48" i="33"/>
  <c r="F48" i="33"/>
  <c r="E48" i="33"/>
  <c r="D48" i="33"/>
  <c r="N44" i="33"/>
  <c r="N43" i="33"/>
  <c r="N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G44" i="33"/>
  <c r="F44" i="33"/>
  <c r="D44" i="33"/>
  <c r="G43" i="33"/>
  <c r="F43" i="33"/>
  <c r="D43" i="33"/>
  <c r="G42" i="33"/>
  <c r="F42" i="33"/>
  <c r="D42" i="33"/>
  <c r="G41" i="33"/>
  <c r="F41" i="33"/>
  <c r="D41" i="33"/>
  <c r="G40" i="33"/>
  <c r="F40" i="33"/>
  <c r="D40" i="33"/>
  <c r="G39" i="33"/>
  <c r="F39" i="33"/>
  <c r="D39" i="33"/>
  <c r="G38" i="33"/>
  <c r="F38" i="33"/>
  <c r="D38" i="33"/>
  <c r="G37" i="33"/>
  <c r="F37" i="33"/>
  <c r="D37" i="33"/>
  <c r="G36" i="33"/>
  <c r="F36" i="33"/>
  <c r="D36" i="33"/>
  <c r="G35" i="33"/>
  <c r="F35" i="33"/>
  <c r="D35" i="33"/>
  <c r="G34" i="33"/>
  <c r="F34" i="33"/>
  <c r="D34" i="33"/>
  <c r="F33" i="33"/>
  <c r="D33" i="33"/>
  <c r="F32" i="33"/>
  <c r="D32" i="33"/>
  <c r="F31" i="33"/>
  <c r="D31" i="33"/>
  <c r="F30" i="33"/>
  <c r="D30" i="33"/>
  <c r="F29" i="33"/>
  <c r="D29" i="33"/>
  <c r="M23" i="33"/>
  <c r="K23" i="33"/>
  <c r="D23" i="33"/>
  <c r="M22" i="33"/>
  <c r="K22" i="33"/>
  <c r="AP298" i="17" s="1"/>
  <c r="D22" i="33"/>
  <c r="M21" i="33"/>
  <c r="K21" i="33"/>
  <c r="AP297" i="17" s="1"/>
  <c r="D21" i="33"/>
  <c r="M20" i="33"/>
  <c r="K20" i="33"/>
  <c r="AP296" i="17" s="1"/>
  <c r="D20" i="33"/>
  <c r="M19" i="33"/>
  <c r="K19" i="33"/>
  <c r="AP295" i="17" s="1"/>
  <c r="D19" i="33"/>
  <c r="M18" i="33"/>
  <c r="K18" i="33"/>
  <c r="AP294" i="17" s="1"/>
  <c r="D18" i="33"/>
  <c r="M17" i="33"/>
  <c r="K17" i="33"/>
  <c r="AP293" i="17" s="1"/>
  <c r="D17" i="33"/>
  <c r="M16" i="33"/>
  <c r="K16" i="33"/>
  <c r="AP292" i="17" s="1"/>
  <c r="D16" i="33"/>
  <c r="M15" i="33"/>
  <c r="K15" i="33"/>
  <c r="AP291" i="17" s="1"/>
  <c r="D15" i="33"/>
  <c r="M14" i="33"/>
  <c r="K14" i="33"/>
  <c r="AP290" i="17" s="1"/>
  <c r="D14" i="33"/>
  <c r="M13" i="33"/>
  <c r="K13" i="33"/>
  <c r="D13" i="33"/>
  <c r="M12" i="33"/>
  <c r="K12" i="33"/>
  <c r="AP288" i="17" s="1"/>
  <c r="D12" i="33"/>
  <c r="M11" i="33"/>
  <c r="K11" i="33"/>
  <c r="AP287" i="17" s="1"/>
  <c r="D11" i="33"/>
  <c r="M10" i="33"/>
  <c r="K10" i="33"/>
  <c r="AP286" i="17" s="1"/>
  <c r="F10" i="33"/>
  <c r="AQ286" i="17" s="1"/>
  <c r="D10" i="33"/>
  <c r="M9" i="33"/>
  <c r="K9" i="33"/>
  <c r="AP285" i="17" s="1"/>
  <c r="F9" i="33"/>
  <c r="AQ285" i="17" s="1"/>
  <c r="D9" i="33"/>
  <c r="M8" i="33"/>
  <c r="K8" i="33"/>
  <c r="D8" i="33"/>
  <c r="Z2" i="33"/>
  <c r="N63" i="32"/>
  <c r="M63" i="32"/>
  <c r="K63" i="32"/>
  <c r="J63" i="32"/>
  <c r="I63" i="32"/>
  <c r="H63" i="32"/>
  <c r="F63" i="32"/>
  <c r="E63" i="32"/>
  <c r="D63" i="32"/>
  <c r="N62" i="32"/>
  <c r="M62" i="32"/>
  <c r="K62" i="32"/>
  <c r="J62" i="32"/>
  <c r="I62" i="32"/>
  <c r="H62" i="32"/>
  <c r="F62" i="32"/>
  <c r="E62" i="32"/>
  <c r="D62" i="32"/>
  <c r="N61" i="32"/>
  <c r="M61" i="32"/>
  <c r="K61" i="32"/>
  <c r="J61" i="32"/>
  <c r="I61" i="32"/>
  <c r="H61" i="32"/>
  <c r="F61" i="32"/>
  <c r="E61" i="32"/>
  <c r="D61" i="32"/>
  <c r="N60" i="32"/>
  <c r="M60" i="32"/>
  <c r="K60" i="32"/>
  <c r="J60" i="32"/>
  <c r="I60" i="32"/>
  <c r="H60" i="32"/>
  <c r="F60" i="32"/>
  <c r="E60" i="32"/>
  <c r="D60" i="32"/>
  <c r="N59" i="32"/>
  <c r="M59" i="32"/>
  <c r="K59" i="32"/>
  <c r="J59" i="32"/>
  <c r="I59" i="32"/>
  <c r="H59" i="32"/>
  <c r="F59" i="32"/>
  <c r="E59" i="32"/>
  <c r="D59" i="32"/>
  <c r="N58" i="32"/>
  <c r="M58" i="32"/>
  <c r="K58" i="32"/>
  <c r="J58" i="32"/>
  <c r="I58" i="32"/>
  <c r="H58" i="32"/>
  <c r="F58" i="32"/>
  <c r="E58" i="32"/>
  <c r="D58" i="32"/>
  <c r="N57" i="32"/>
  <c r="M57" i="32"/>
  <c r="K57" i="32"/>
  <c r="J57" i="32"/>
  <c r="I57" i="32"/>
  <c r="H57" i="32"/>
  <c r="F57" i="32"/>
  <c r="E57" i="32"/>
  <c r="D57" i="32"/>
  <c r="N56" i="32"/>
  <c r="M56" i="32"/>
  <c r="K56" i="32"/>
  <c r="J56" i="32"/>
  <c r="I56" i="32"/>
  <c r="H56" i="32"/>
  <c r="F56" i="32"/>
  <c r="E56" i="32"/>
  <c r="D56" i="32"/>
  <c r="N55" i="32"/>
  <c r="M55" i="32"/>
  <c r="K55" i="32"/>
  <c r="J55" i="32"/>
  <c r="I55" i="32"/>
  <c r="H55" i="32"/>
  <c r="F55" i="32"/>
  <c r="E55" i="32"/>
  <c r="D55" i="32"/>
  <c r="N54" i="32"/>
  <c r="M54" i="32"/>
  <c r="K54" i="32"/>
  <c r="J54" i="32"/>
  <c r="I54" i="32"/>
  <c r="H54" i="32"/>
  <c r="F54" i="32"/>
  <c r="E54" i="32"/>
  <c r="D54" i="32"/>
  <c r="N53" i="32"/>
  <c r="M53" i="32"/>
  <c r="K53" i="32"/>
  <c r="J53" i="32"/>
  <c r="I53" i="32"/>
  <c r="H53" i="32"/>
  <c r="F53" i="32"/>
  <c r="E53" i="32"/>
  <c r="D53" i="32"/>
  <c r="N52" i="32"/>
  <c r="M52" i="32"/>
  <c r="K52" i="32"/>
  <c r="J52" i="32"/>
  <c r="I52" i="32"/>
  <c r="H52" i="32"/>
  <c r="F52" i="32"/>
  <c r="E52" i="32"/>
  <c r="D52" i="32"/>
  <c r="N51" i="32"/>
  <c r="M51" i="32"/>
  <c r="K51" i="32"/>
  <c r="J51" i="32"/>
  <c r="I51" i="32"/>
  <c r="H51" i="32"/>
  <c r="F51" i="32"/>
  <c r="E51" i="32"/>
  <c r="D51" i="32"/>
  <c r="N50" i="32"/>
  <c r="M50" i="32"/>
  <c r="K50" i="32"/>
  <c r="J50" i="32"/>
  <c r="I50" i="32"/>
  <c r="H50" i="32"/>
  <c r="F50" i="32"/>
  <c r="E50" i="32"/>
  <c r="D50" i="32"/>
  <c r="N49" i="32"/>
  <c r="M49" i="32"/>
  <c r="K49" i="32"/>
  <c r="J49" i="32"/>
  <c r="I49" i="32"/>
  <c r="H49" i="32"/>
  <c r="F49" i="32"/>
  <c r="E49" i="32"/>
  <c r="D49" i="32"/>
  <c r="N48" i="32"/>
  <c r="M48" i="32"/>
  <c r="K48" i="32"/>
  <c r="J48" i="32"/>
  <c r="I48" i="32"/>
  <c r="H48" i="32"/>
  <c r="F48" i="32"/>
  <c r="E48" i="32"/>
  <c r="D48" i="32"/>
  <c r="N44" i="32"/>
  <c r="N43" i="32"/>
  <c r="N42" i="32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G44" i="32"/>
  <c r="F44" i="32"/>
  <c r="D44" i="32"/>
  <c r="G43" i="32"/>
  <c r="F43" i="32"/>
  <c r="D43" i="32"/>
  <c r="G42" i="32"/>
  <c r="F42" i="32"/>
  <c r="D42" i="32"/>
  <c r="G41" i="32"/>
  <c r="F41" i="32"/>
  <c r="D41" i="32"/>
  <c r="G40" i="32"/>
  <c r="F40" i="32"/>
  <c r="D40" i="32"/>
  <c r="G39" i="32"/>
  <c r="F39" i="32"/>
  <c r="D39" i="32"/>
  <c r="G38" i="32"/>
  <c r="F38" i="32"/>
  <c r="D38" i="32"/>
  <c r="G37" i="32"/>
  <c r="F37" i="32"/>
  <c r="D37" i="32"/>
  <c r="G36" i="32"/>
  <c r="F36" i="32"/>
  <c r="D36" i="32"/>
  <c r="G35" i="32"/>
  <c r="F35" i="32"/>
  <c r="D35" i="32"/>
  <c r="G34" i="32"/>
  <c r="F34" i="32"/>
  <c r="D34" i="32"/>
  <c r="F33" i="32"/>
  <c r="D33" i="32"/>
  <c r="F32" i="32"/>
  <c r="D32" i="32"/>
  <c r="F31" i="32"/>
  <c r="D31" i="32"/>
  <c r="F30" i="32"/>
  <c r="D30" i="32"/>
  <c r="F29" i="32"/>
  <c r="D29" i="32"/>
  <c r="M23" i="32"/>
  <c r="K23" i="32"/>
  <c r="D23" i="32"/>
  <c r="M22" i="32"/>
  <c r="K22" i="32"/>
  <c r="D22" i="32"/>
  <c r="M21" i="32"/>
  <c r="K21" i="32"/>
  <c r="D21" i="32"/>
  <c r="M20" i="32"/>
  <c r="K20" i="32"/>
  <c r="D20" i="32"/>
  <c r="M19" i="32"/>
  <c r="K19" i="32"/>
  <c r="D19" i="32"/>
  <c r="M18" i="32"/>
  <c r="K18" i="32"/>
  <c r="D18" i="32"/>
  <c r="M17" i="32"/>
  <c r="K17" i="32"/>
  <c r="D17" i="32"/>
  <c r="M16" i="32"/>
  <c r="K16" i="32"/>
  <c r="D16" i="32"/>
  <c r="M15" i="32"/>
  <c r="K15" i="32"/>
  <c r="D15" i="32"/>
  <c r="M14" i="32"/>
  <c r="K14" i="32"/>
  <c r="D14" i="32"/>
  <c r="M13" i="32"/>
  <c r="K13" i="32"/>
  <c r="D13" i="32"/>
  <c r="M12" i="32"/>
  <c r="K12" i="32"/>
  <c r="D12" i="32"/>
  <c r="M11" i="32"/>
  <c r="K11" i="32"/>
  <c r="D11" i="32"/>
  <c r="M10" i="32"/>
  <c r="K10" i="32"/>
  <c r="D10" i="32"/>
  <c r="M9" i="32"/>
  <c r="K9" i="32"/>
  <c r="D9" i="32"/>
  <c r="M8" i="32"/>
  <c r="K8" i="32"/>
  <c r="D8" i="32"/>
  <c r="Z2" i="32"/>
  <c r="N63" i="31"/>
  <c r="M63" i="31"/>
  <c r="K63" i="31"/>
  <c r="J63" i="31"/>
  <c r="I63" i="31"/>
  <c r="H63" i="31"/>
  <c r="F63" i="31"/>
  <c r="E63" i="31"/>
  <c r="D63" i="31"/>
  <c r="N62" i="31"/>
  <c r="M62" i="31"/>
  <c r="K62" i="31"/>
  <c r="J62" i="31"/>
  <c r="I62" i="31"/>
  <c r="H62" i="31"/>
  <c r="F62" i="31"/>
  <c r="E62" i="31"/>
  <c r="D62" i="31"/>
  <c r="N61" i="31"/>
  <c r="M61" i="31"/>
  <c r="K61" i="31"/>
  <c r="J61" i="31"/>
  <c r="I61" i="31"/>
  <c r="H61" i="31"/>
  <c r="F61" i="31"/>
  <c r="E61" i="31"/>
  <c r="D61" i="31"/>
  <c r="N60" i="31"/>
  <c r="M60" i="31"/>
  <c r="K60" i="31"/>
  <c r="J60" i="31"/>
  <c r="I60" i="31"/>
  <c r="H60" i="31"/>
  <c r="F60" i="31"/>
  <c r="E60" i="31"/>
  <c r="D60" i="31"/>
  <c r="N59" i="31"/>
  <c r="M59" i="31"/>
  <c r="K59" i="31"/>
  <c r="J59" i="31"/>
  <c r="I59" i="31"/>
  <c r="H59" i="31"/>
  <c r="F59" i="31"/>
  <c r="E59" i="31"/>
  <c r="D59" i="31"/>
  <c r="N58" i="31"/>
  <c r="M58" i="31"/>
  <c r="K58" i="31"/>
  <c r="J58" i="31"/>
  <c r="I58" i="31"/>
  <c r="H58" i="31"/>
  <c r="F58" i="31"/>
  <c r="E58" i="31"/>
  <c r="D58" i="31"/>
  <c r="N57" i="31"/>
  <c r="M57" i="31"/>
  <c r="K57" i="31"/>
  <c r="J57" i="31"/>
  <c r="I57" i="31"/>
  <c r="H57" i="31"/>
  <c r="F57" i="31"/>
  <c r="E57" i="31"/>
  <c r="D57" i="31"/>
  <c r="N56" i="31"/>
  <c r="M56" i="31"/>
  <c r="K56" i="31"/>
  <c r="J56" i="31"/>
  <c r="I56" i="31"/>
  <c r="H56" i="31"/>
  <c r="F56" i="31"/>
  <c r="E56" i="31"/>
  <c r="D56" i="31"/>
  <c r="N55" i="31"/>
  <c r="M55" i="31"/>
  <c r="K55" i="31"/>
  <c r="J55" i="31"/>
  <c r="I55" i="31"/>
  <c r="H55" i="31"/>
  <c r="F55" i="31"/>
  <c r="E55" i="31"/>
  <c r="D55" i="31"/>
  <c r="N54" i="31"/>
  <c r="M54" i="31"/>
  <c r="K54" i="31"/>
  <c r="J54" i="31"/>
  <c r="I54" i="31"/>
  <c r="H54" i="31"/>
  <c r="F54" i="31"/>
  <c r="E54" i="31"/>
  <c r="D54" i="31"/>
  <c r="N53" i="31"/>
  <c r="M53" i="31"/>
  <c r="K53" i="31"/>
  <c r="J53" i="31"/>
  <c r="I53" i="31"/>
  <c r="H53" i="31"/>
  <c r="F53" i="31"/>
  <c r="E53" i="31"/>
  <c r="D53" i="31"/>
  <c r="N52" i="31"/>
  <c r="M52" i="31"/>
  <c r="K52" i="31"/>
  <c r="J52" i="31"/>
  <c r="I52" i="31"/>
  <c r="H52" i="31"/>
  <c r="F52" i="31"/>
  <c r="E52" i="31"/>
  <c r="D52" i="31"/>
  <c r="N51" i="31"/>
  <c r="M51" i="31"/>
  <c r="K51" i="31"/>
  <c r="J51" i="31"/>
  <c r="I51" i="31"/>
  <c r="H51" i="31"/>
  <c r="F51" i="31"/>
  <c r="E51" i="31"/>
  <c r="D51" i="31"/>
  <c r="N50" i="31"/>
  <c r="M50" i="31"/>
  <c r="K50" i="31"/>
  <c r="J50" i="31"/>
  <c r="I50" i="31"/>
  <c r="H50" i="31"/>
  <c r="F50" i="31"/>
  <c r="E50" i="31"/>
  <c r="D50" i="31"/>
  <c r="N49" i="31"/>
  <c r="M49" i="31"/>
  <c r="K49" i="31"/>
  <c r="J49" i="31"/>
  <c r="I49" i="31"/>
  <c r="H49" i="31"/>
  <c r="F49" i="31"/>
  <c r="E49" i="31"/>
  <c r="D49" i="31"/>
  <c r="N48" i="31"/>
  <c r="M48" i="31"/>
  <c r="J48" i="31"/>
  <c r="I48" i="31"/>
  <c r="H48" i="31"/>
  <c r="F48" i="31"/>
  <c r="E48" i="31"/>
  <c r="D48" i="31"/>
  <c r="N44" i="31"/>
  <c r="N43" i="31"/>
  <c r="N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G44" i="31"/>
  <c r="F44" i="31"/>
  <c r="D44" i="31"/>
  <c r="G43" i="31"/>
  <c r="F43" i="31"/>
  <c r="D43" i="31"/>
  <c r="G42" i="31"/>
  <c r="F42" i="31"/>
  <c r="D42" i="31"/>
  <c r="G41" i="31"/>
  <c r="F41" i="31"/>
  <c r="D41" i="31"/>
  <c r="G40" i="31"/>
  <c r="F40" i="31"/>
  <c r="D40" i="31"/>
  <c r="G39" i="31"/>
  <c r="F39" i="31"/>
  <c r="D39" i="31"/>
  <c r="G38" i="31"/>
  <c r="F38" i="31"/>
  <c r="D38" i="31"/>
  <c r="G37" i="31"/>
  <c r="F37" i="31"/>
  <c r="D37" i="31"/>
  <c r="G36" i="31"/>
  <c r="F36" i="31"/>
  <c r="D36" i="31"/>
  <c r="G35" i="31"/>
  <c r="F35" i="31"/>
  <c r="D35" i="31"/>
  <c r="G34" i="31"/>
  <c r="F34" i="31"/>
  <c r="D34" i="31"/>
  <c r="F33" i="31"/>
  <c r="D33" i="31"/>
  <c r="F32" i="31"/>
  <c r="D32" i="31"/>
  <c r="F31" i="31"/>
  <c r="D31" i="31"/>
  <c r="F30" i="31"/>
  <c r="D30" i="31"/>
  <c r="F29" i="31"/>
  <c r="D29" i="31"/>
  <c r="M23" i="31"/>
  <c r="K23" i="31"/>
  <c r="F23" i="31"/>
  <c r="D23" i="31"/>
  <c r="M22" i="31"/>
  <c r="K22" i="31"/>
  <c r="F22" i="31"/>
  <c r="D22" i="31"/>
  <c r="M21" i="31"/>
  <c r="K21" i="31"/>
  <c r="F21" i="31"/>
  <c r="D21" i="31"/>
  <c r="M20" i="31"/>
  <c r="K20" i="31"/>
  <c r="F20" i="31"/>
  <c r="D20" i="31"/>
  <c r="M19" i="31"/>
  <c r="K19" i="31"/>
  <c r="F19" i="31"/>
  <c r="D19" i="31"/>
  <c r="M18" i="31"/>
  <c r="K18" i="31"/>
  <c r="F18" i="31"/>
  <c r="D18" i="31"/>
  <c r="M17" i="31"/>
  <c r="K17" i="31"/>
  <c r="F17" i="31"/>
  <c r="D17" i="31"/>
  <c r="M16" i="31"/>
  <c r="K16" i="31"/>
  <c r="F16" i="31"/>
  <c r="D16" i="31"/>
  <c r="M15" i="31"/>
  <c r="K15" i="31"/>
  <c r="F15" i="31"/>
  <c r="D15" i="31"/>
  <c r="M14" i="31"/>
  <c r="K14" i="31"/>
  <c r="F14" i="31"/>
  <c r="D14" i="31"/>
  <c r="M13" i="31"/>
  <c r="K13" i="31"/>
  <c r="F13" i="31"/>
  <c r="D13" i="31"/>
  <c r="M12" i="31"/>
  <c r="K12" i="31"/>
  <c r="D12" i="31"/>
  <c r="M11" i="31"/>
  <c r="K11" i="31"/>
  <c r="D11" i="31"/>
  <c r="M10" i="31"/>
  <c r="K10" i="31"/>
  <c r="D10" i="31"/>
  <c r="M9" i="31"/>
  <c r="K9" i="31"/>
  <c r="D9" i="31"/>
  <c r="M8" i="31"/>
  <c r="K8" i="31"/>
  <c r="D8" i="31"/>
  <c r="Z2" i="31"/>
  <c r="N63" i="1"/>
  <c r="M63" i="1"/>
  <c r="K63" i="1"/>
  <c r="J63" i="1"/>
  <c r="I63" i="1"/>
  <c r="H63" i="1"/>
  <c r="F63" i="1"/>
  <c r="E63" i="1"/>
  <c r="D63" i="1"/>
  <c r="N62" i="1"/>
  <c r="M62" i="1"/>
  <c r="K62" i="1"/>
  <c r="J62" i="1"/>
  <c r="I62" i="1"/>
  <c r="H62" i="1"/>
  <c r="F62" i="1"/>
  <c r="E62" i="1"/>
  <c r="D62" i="1"/>
  <c r="N61" i="1"/>
  <c r="M61" i="1"/>
  <c r="K61" i="1"/>
  <c r="J61" i="1"/>
  <c r="I61" i="1"/>
  <c r="H61" i="1"/>
  <c r="F61" i="1"/>
  <c r="E61" i="1"/>
  <c r="D61" i="1"/>
  <c r="N60" i="1"/>
  <c r="M60" i="1"/>
  <c r="K60" i="1"/>
  <c r="J60" i="1"/>
  <c r="I60" i="1"/>
  <c r="H60" i="1"/>
  <c r="F60" i="1"/>
  <c r="E60" i="1"/>
  <c r="D60" i="1"/>
  <c r="N59" i="1"/>
  <c r="M59" i="1"/>
  <c r="K59" i="1"/>
  <c r="J59" i="1"/>
  <c r="I59" i="1"/>
  <c r="H59" i="1"/>
  <c r="F59" i="1"/>
  <c r="E59" i="1"/>
  <c r="D59" i="1"/>
  <c r="N58" i="1"/>
  <c r="M58" i="1"/>
  <c r="K58" i="1"/>
  <c r="J58" i="1"/>
  <c r="I58" i="1"/>
  <c r="H58" i="1"/>
  <c r="F58" i="1"/>
  <c r="E58" i="1"/>
  <c r="D58" i="1"/>
  <c r="N57" i="1"/>
  <c r="M57" i="1"/>
  <c r="K57" i="1"/>
  <c r="J57" i="1"/>
  <c r="I57" i="1"/>
  <c r="H57" i="1"/>
  <c r="F57" i="1"/>
  <c r="E57" i="1"/>
  <c r="D57" i="1"/>
  <c r="N56" i="1"/>
  <c r="M56" i="1"/>
  <c r="K56" i="1"/>
  <c r="J56" i="1"/>
  <c r="I56" i="1"/>
  <c r="H56" i="1"/>
  <c r="F56" i="1"/>
  <c r="E56" i="1"/>
  <c r="D56" i="1"/>
  <c r="N55" i="1"/>
  <c r="M55" i="1"/>
  <c r="K55" i="1"/>
  <c r="J55" i="1"/>
  <c r="I55" i="1"/>
  <c r="H55" i="1"/>
  <c r="F55" i="1"/>
  <c r="E55" i="1"/>
  <c r="D55" i="1"/>
  <c r="N54" i="1"/>
  <c r="M54" i="1"/>
  <c r="K54" i="1"/>
  <c r="J54" i="1"/>
  <c r="I54" i="1"/>
  <c r="H54" i="1"/>
  <c r="F54" i="1"/>
  <c r="E54" i="1"/>
  <c r="D54" i="1"/>
  <c r="N53" i="1"/>
  <c r="M53" i="1"/>
  <c r="K53" i="1"/>
  <c r="J53" i="1"/>
  <c r="I53" i="1"/>
  <c r="F53" i="1"/>
  <c r="E53" i="1"/>
  <c r="D53" i="1"/>
  <c r="N52" i="1"/>
  <c r="M52" i="1"/>
  <c r="K52" i="1"/>
  <c r="J52" i="1"/>
  <c r="I52" i="1"/>
  <c r="H52" i="1"/>
  <c r="F52" i="1"/>
  <c r="E52" i="1"/>
  <c r="D52" i="1"/>
  <c r="N51" i="1"/>
  <c r="M51" i="1"/>
  <c r="K51" i="1"/>
  <c r="J51" i="1"/>
  <c r="I51" i="1"/>
  <c r="H51" i="1"/>
  <c r="F51" i="1"/>
  <c r="E51" i="1"/>
  <c r="D51" i="1"/>
  <c r="N50" i="1"/>
  <c r="M50" i="1"/>
  <c r="K50" i="1"/>
  <c r="J50" i="1"/>
  <c r="I50" i="1"/>
  <c r="H50" i="1"/>
  <c r="F50" i="1"/>
  <c r="E50" i="1"/>
  <c r="D50" i="1"/>
  <c r="N49" i="1"/>
  <c r="M49" i="1"/>
  <c r="K49" i="1"/>
  <c r="J49" i="1"/>
  <c r="I49" i="1"/>
  <c r="H49" i="1"/>
  <c r="F49" i="1"/>
  <c r="E49" i="1"/>
  <c r="D49" i="1"/>
  <c r="N48" i="1"/>
  <c r="M48" i="1"/>
  <c r="K48" i="1"/>
  <c r="J48" i="1"/>
  <c r="I48" i="1"/>
  <c r="H48" i="1"/>
  <c r="F48" i="1"/>
  <c r="E48" i="1"/>
  <c r="D48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G44" i="1"/>
  <c r="F44" i="1"/>
  <c r="D44" i="1"/>
  <c r="G43" i="1"/>
  <c r="F43" i="1"/>
  <c r="D43" i="1"/>
  <c r="G42" i="1"/>
  <c r="F42" i="1"/>
  <c r="D42" i="1"/>
  <c r="G41" i="1"/>
  <c r="F41" i="1"/>
  <c r="D41" i="1"/>
  <c r="G40" i="1"/>
  <c r="F40" i="1"/>
  <c r="D40" i="1"/>
  <c r="G39" i="1"/>
  <c r="F39" i="1"/>
  <c r="D39" i="1"/>
  <c r="G38" i="1"/>
  <c r="F38" i="1"/>
  <c r="D38" i="1"/>
  <c r="G37" i="1"/>
  <c r="F37" i="1"/>
  <c r="D37" i="1"/>
  <c r="G36" i="1"/>
  <c r="F36" i="1"/>
  <c r="D36" i="1"/>
  <c r="G35" i="1"/>
  <c r="F35" i="1"/>
  <c r="D35" i="1"/>
  <c r="G34" i="1"/>
  <c r="F34" i="1"/>
  <c r="D34" i="1"/>
  <c r="F33" i="1"/>
  <c r="D33" i="1"/>
  <c r="F32" i="1"/>
  <c r="D32" i="1"/>
  <c r="F31" i="1"/>
  <c r="D31" i="1"/>
  <c r="F30" i="1"/>
  <c r="D30" i="1"/>
  <c r="F29" i="1"/>
  <c r="D29" i="1"/>
  <c r="M23" i="1"/>
  <c r="D23" i="1"/>
  <c r="M22" i="1"/>
  <c r="D22" i="1"/>
  <c r="M21" i="1"/>
  <c r="D21" i="1"/>
  <c r="M20" i="1"/>
  <c r="D20" i="1"/>
  <c r="M19" i="1"/>
  <c r="D19" i="1"/>
  <c r="M18" i="1"/>
  <c r="D18" i="1"/>
  <c r="M17" i="1"/>
  <c r="D17" i="1"/>
  <c r="M16" i="1"/>
  <c r="D16" i="1"/>
  <c r="M15" i="1"/>
  <c r="D15" i="1"/>
  <c r="M14" i="1"/>
  <c r="D14" i="1"/>
  <c r="M13" i="1"/>
  <c r="D13" i="1"/>
  <c r="M12" i="1"/>
  <c r="D12" i="1"/>
  <c r="M11" i="1"/>
  <c r="F11" i="1"/>
  <c r="D11" i="1"/>
  <c r="M10" i="1"/>
  <c r="D10" i="1"/>
  <c r="M9" i="1"/>
  <c r="F9" i="1"/>
  <c r="D9" i="1"/>
  <c r="M8" i="1"/>
  <c r="D8" i="1"/>
  <c r="AA2" i="1"/>
  <c r="AI153" i="17"/>
  <c r="AI154" i="17" s="1"/>
  <c r="AI155" i="17" s="1"/>
  <c r="AI156" i="17" s="1"/>
  <c r="AI157" i="17" s="1"/>
  <c r="AI158" i="17" s="1"/>
  <c r="AI159" i="17" s="1"/>
  <c r="AI160" i="17" s="1"/>
  <c r="AI161" i="17" s="1"/>
  <c r="AI162" i="17" s="1"/>
  <c r="AI163" i="17" s="1"/>
  <c r="AI164" i="17" s="1"/>
  <c r="AI165" i="17" s="1"/>
  <c r="AI166" i="17" s="1"/>
  <c r="AI167" i="17" s="1"/>
  <c r="AQ117" i="17"/>
  <c r="AP117" i="17"/>
  <c r="AO117" i="17"/>
  <c r="AN117" i="17"/>
  <c r="AM117" i="17"/>
  <c r="AL117" i="17"/>
  <c r="AK117" i="17"/>
  <c r="AJ117" i="17"/>
  <c r="AR17" i="17"/>
  <c r="AR18" i="17" s="1"/>
  <c r="AR19" i="17" s="1"/>
  <c r="AR20" i="17" s="1"/>
  <c r="AR21" i="17" s="1"/>
  <c r="AR22" i="17" s="1"/>
  <c r="AR23" i="17" s="1"/>
  <c r="AR24" i="17" s="1"/>
  <c r="AR25" i="17" s="1"/>
  <c r="AR26" i="17" s="1"/>
  <c r="AR27" i="17" s="1"/>
  <c r="AR28" i="17" s="1"/>
  <c r="AR29" i="17" s="1"/>
  <c r="AR30" i="17" s="1"/>
  <c r="AR31" i="17" s="1"/>
  <c r="AI17" i="17"/>
  <c r="AI18" i="17" s="1"/>
  <c r="AI19" i="17" s="1"/>
  <c r="AI20" i="17" s="1"/>
  <c r="AI21" i="17" s="1"/>
  <c r="AI22" i="17" s="1"/>
  <c r="AI23" i="17" s="1"/>
  <c r="AI24" i="17" s="1"/>
  <c r="AI25" i="17" s="1"/>
  <c r="AI26" i="17" s="1"/>
  <c r="AI27" i="17" s="1"/>
  <c r="AI28" i="17" s="1"/>
  <c r="AI29" i="17" s="1"/>
  <c r="AI30" i="17" s="1"/>
  <c r="AP67" i="17"/>
  <c r="AM67" i="17"/>
  <c r="AQ67" i="17"/>
  <c r="AK67" i="17"/>
  <c r="AO59" i="17"/>
  <c r="AM59" i="17"/>
  <c r="AK51" i="17"/>
  <c r="AP51" i="17"/>
  <c r="AK59" i="17"/>
  <c r="AP59" i="17"/>
  <c r="AL67" i="17"/>
  <c r="AO67" i="17"/>
  <c r="AQ59" i="17"/>
  <c r="AQ51" i="17"/>
  <c r="AL59" i="17"/>
  <c r="AL51" i="17"/>
  <c r="AM51" i="17"/>
  <c r="AR285" i="17" l="1"/>
  <c r="BB293" i="17"/>
  <c r="BB284" i="17"/>
  <c r="P49" i="34"/>
  <c r="AW286" i="17"/>
  <c r="BB292" i="17"/>
  <c r="BB294" i="17"/>
  <c r="AW288" i="17"/>
  <c r="AR286" i="17"/>
  <c r="AP299" i="17"/>
  <c r="AW287" i="17"/>
  <c r="BB299" i="17"/>
  <c r="AZ289" i="17"/>
  <c r="AP289" i="17"/>
  <c r="AZ299" i="17"/>
  <c r="BB287" i="17"/>
  <c r="P49" i="31"/>
  <c r="P51" i="34"/>
  <c r="P59" i="34"/>
  <c r="P51" i="36"/>
  <c r="P49" i="37"/>
  <c r="P54" i="34"/>
  <c r="P62" i="36"/>
  <c r="P61" i="36"/>
  <c r="P52" i="34"/>
  <c r="P50" i="37"/>
  <c r="P58" i="37"/>
  <c r="P58" i="36"/>
  <c r="P59" i="37"/>
  <c r="P55" i="35"/>
  <c r="P55" i="36"/>
  <c r="P52" i="31"/>
  <c r="P60" i="31"/>
  <c r="P53" i="32"/>
  <c r="P57" i="31"/>
  <c r="P48" i="33"/>
  <c r="P56" i="33"/>
  <c r="P50" i="35"/>
  <c r="P50" i="32"/>
  <c r="P58" i="32"/>
  <c r="P59" i="1"/>
  <c r="P56" i="34"/>
  <c r="P57" i="34"/>
  <c r="P54" i="35"/>
  <c r="P53" i="36"/>
  <c r="P48" i="34"/>
  <c r="P59" i="35"/>
  <c r="C22" i="31"/>
  <c r="C19" i="32"/>
  <c r="C21" i="32"/>
  <c r="C20" i="33"/>
  <c r="C8" i="36"/>
  <c r="C13" i="33"/>
  <c r="C13" i="32"/>
  <c r="C15" i="1"/>
  <c r="P59" i="32"/>
  <c r="P48" i="35"/>
  <c r="P49" i="35"/>
  <c r="P56" i="37"/>
  <c r="P51" i="37"/>
  <c r="P58" i="34"/>
  <c r="P53" i="35"/>
  <c r="P50" i="36"/>
  <c r="P48" i="37"/>
  <c r="P60" i="35"/>
  <c r="P49" i="36"/>
  <c r="P53" i="34"/>
  <c r="P60" i="34"/>
  <c r="P62" i="35"/>
  <c r="P57" i="36"/>
  <c r="P63" i="36"/>
  <c r="P57" i="37"/>
  <c r="P62" i="32"/>
  <c r="P52" i="33"/>
  <c r="P61" i="34"/>
  <c r="P62" i="34"/>
  <c r="P52" i="36"/>
  <c r="P52" i="37"/>
  <c r="P54" i="36"/>
  <c r="P51" i="31"/>
  <c r="P59" i="31"/>
  <c r="P55" i="32"/>
  <c r="P61" i="33"/>
  <c r="P60" i="37"/>
  <c r="P51" i="35"/>
  <c r="P58" i="35"/>
  <c r="P60" i="36"/>
  <c r="P54" i="37"/>
  <c r="P63" i="34"/>
  <c r="P56" i="35"/>
  <c r="P57" i="35"/>
  <c r="P63" i="35"/>
  <c r="P56" i="36"/>
  <c r="P53" i="37"/>
  <c r="P54" i="32"/>
  <c r="P52" i="35"/>
  <c r="P54" i="33"/>
  <c r="P62" i="33"/>
  <c r="P55" i="34"/>
  <c r="P48" i="36"/>
  <c r="P61" i="37"/>
  <c r="P49" i="32"/>
  <c r="P57" i="32"/>
  <c r="P55" i="33"/>
  <c r="P63" i="33"/>
  <c r="P50" i="34"/>
  <c r="P61" i="35"/>
  <c r="P59" i="36"/>
  <c r="P62" i="37"/>
  <c r="P51" i="1"/>
  <c r="C13" i="31"/>
  <c r="C20" i="31"/>
  <c r="C8" i="33"/>
  <c r="C17" i="33"/>
  <c r="C18" i="35"/>
  <c r="C35" i="35"/>
  <c r="C43" i="36"/>
  <c r="C9" i="1"/>
  <c r="I9" i="1" s="1"/>
  <c r="C22" i="1"/>
  <c r="C17" i="34"/>
  <c r="C22" i="36"/>
  <c r="C23" i="37"/>
  <c r="C36" i="33"/>
  <c r="C44" i="35"/>
  <c r="C14" i="1"/>
  <c r="C16" i="1"/>
  <c r="C9" i="32"/>
  <c r="C16" i="33"/>
  <c r="C17" i="35"/>
  <c r="C39" i="1"/>
  <c r="G133" i="9" s="1"/>
  <c r="C14" i="31"/>
  <c r="C21" i="31"/>
  <c r="C10" i="34"/>
  <c r="C16" i="34"/>
  <c r="C18" i="34"/>
  <c r="C19" i="35"/>
  <c r="C20" i="32"/>
  <c r="C10" i="1"/>
  <c r="C23" i="1"/>
  <c r="C10" i="31"/>
  <c r="C12" i="32"/>
  <c r="C21" i="33"/>
  <c r="C8" i="34"/>
  <c r="C12" i="34"/>
  <c r="C42" i="32"/>
  <c r="I174" i="9"/>
  <c r="I37" i="9"/>
  <c r="I82" i="9"/>
  <c r="I138" i="9"/>
  <c r="I108" i="9"/>
  <c r="I19" i="9"/>
  <c r="I26" i="9"/>
  <c r="I48" i="9"/>
  <c r="I55" i="9"/>
  <c r="H165" i="2"/>
  <c r="P49" i="1"/>
  <c r="P57" i="1"/>
  <c r="P54" i="31"/>
  <c r="P55" i="31"/>
  <c r="P62" i="31"/>
  <c r="P63" i="31"/>
  <c r="P48" i="32"/>
  <c r="P56" i="32"/>
  <c r="P63" i="32"/>
  <c r="P51" i="33"/>
  <c r="P59" i="33"/>
  <c r="P60" i="33"/>
  <c r="P55" i="1"/>
  <c r="P63" i="1"/>
  <c r="P53" i="31"/>
  <c r="P61" i="31"/>
  <c r="P61" i="32"/>
  <c r="P49" i="33"/>
  <c r="P60" i="32"/>
  <c r="P53" i="33"/>
  <c r="P50" i="33"/>
  <c r="P56" i="31"/>
  <c r="P50" i="31"/>
  <c r="P58" i="31"/>
  <c r="P51" i="32"/>
  <c r="P57" i="33"/>
  <c r="P48" i="31"/>
  <c r="P52" i="32"/>
  <c r="P58" i="33"/>
  <c r="P48" i="1"/>
  <c r="P50" i="1"/>
  <c r="P58" i="1"/>
  <c r="P52" i="1"/>
  <c r="P53" i="1"/>
  <c r="P60" i="1"/>
  <c r="P61" i="1"/>
  <c r="P56" i="1"/>
  <c r="P54" i="1"/>
  <c r="P62" i="1"/>
  <c r="G30" i="37"/>
  <c r="G29" i="1"/>
  <c r="O8" i="36"/>
  <c r="G31" i="34"/>
  <c r="G30" i="31"/>
  <c r="O8" i="31"/>
  <c r="G30" i="33"/>
  <c r="O8" i="37"/>
  <c r="G30" i="36"/>
  <c r="G31" i="35"/>
  <c r="G32" i="34"/>
  <c r="G33" i="33"/>
  <c r="O8" i="33"/>
  <c r="G30" i="32"/>
  <c r="G31" i="31"/>
  <c r="G30" i="35"/>
  <c r="G33" i="32"/>
  <c r="G32" i="32"/>
  <c r="G31" i="37"/>
  <c r="G32" i="35"/>
  <c r="G32" i="31"/>
  <c r="G33" i="37"/>
  <c r="G30" i="1"/>
  <c r="G33" i="36"/>
  <c r="G32" i="33"/>
  <c r="O8" i="32"/>
  <c r="G33" i="1"/>
  <c r="G31" i="36"/>
  <c r="O8" i="34"/>
  <c r="G32" i="37"/>
  <c r="G31" i="1"/>
  <c r="G32" i="36"/>
  <c r="G33" i="35"/>
  <c r="O8" i="35"/>
  <c r="G30" i="34"/>
  <c r="G31" i="33"/>
  <c r="G33" i="31"/>
  <c r="G33" i="34"/>
  <c r="G31" i="32"/>
  <c r="G32" i="1"/>
  <c r="N8" i="34"/>
  <c r="N8" i="37"/>
  <c r="N8" i="33"/>
  <c r="N8" i="35"/>
  <c r="N8" i="36"/>
  <c r="N8" i="32"/>
  <c r="N8" i="31"/>
  <c r="C21" i="36"/>
  <c r="C8" i="1"/>
  <c r="C20" i="1"/>
  <c r="C32" i="1"/>
  <c r="C9" i="31"/>
  <c r="C12" i="31"/>
  <c r="C18" i="31"/>
  <c r="C42" i="31"/>
  <c r="C11" i="32"/>
  <c r="C17" i="32"/>
  <c r="C15" i="33"/>
  <c r="C19" i="33"/>
  <c r="C23" i="33"/>
  <c r="C22" i="34"/>
  <c r="C34" i="34"/>
  <c r="C15" i="35"/>
  <c r="F8" i="36"/>
  <c r="C10" i="36"/>
  <c r="C13" i="36"/>
  <c r="C22" i="37"/>
  <c r="C31" i="33"/>
  <c r="C39" i="33"/>
  <c r="I162" i="9"/>
  <c r="C19" i="31"/>
  <c r="C8" i="32"/>
  <c r="C12" i="33"/>
  <c r="C15" i="34"/>
  <c r="C9" i="37"/>
  <c r="C38" i="33"/>
  <c r="I21" i="9"/>
  <c r="C12" i="1"/>
  <c r="C19" i="1"/>
  <c r="C34" i="1"/>
  <c r="C17" i="31"/>
  <c r="C16" i="32"/>
  <c r="C39" i="32"/>
  <c r="C11" i="33"/>
  <c r="C21" i="34"/>
  <c r="C42" i="34"/>
  <c r="C14" i="35"/>
  <c r="C20" i="36"/>
  <c r="C32" i="31"/>
  <c r="C40" i="32"/>
  <c r="I79" i="9"/>
  <c r="I142" i="9"/>
  <c r="C13" i="1"/>
  <c r="C34" i="31"/>
  <c r="I78" i="9"/>
  <c r="C18" i="1"/>
  <c r="C16" i="31"/>
  <c r="C31" i="31"/>
  <c r="C10" i="32"/>
  <c r="C15" i="32"/>
  <c r="C23" i="32"/>
  <c r="C10" i="33"/>
  <c r="C14" i="33"/>
  <c r="C18" i="33"/>
  <c r="C22" i="33"/>
  <c r="C32" i="33"/>
  <c r="C20" i="34"/>
  <c r="C13" i="35"/>
  <c r="I30" i="9"/>
  <c r="I66" i="9"/>
  <c r="I101" i="9"/>
  <c r="I115" i="9"/>
  <c r="I187" i="9"/>
  <c r="I89" i="9"/>
  <c r="I126" i="9"/>
  <c r="C21" i="1"/>
  <c r="C18" i="32"/>
  <c r="C23" i="34"/>
  <c r="C16" i="35"/>
  <c r="C18" i="37"/>
  <c r="C30" i="31"/>
  <c r="C11" i="1"/>
  <c r="I11" i="1" s="1"/>
  <c r="C17" i="1"/>
  <c r="C42" i="1"/>
  <c r="C8" i="31"/>
  <c r="C11" i="31"/>
  <c r="C15" i="31"/>
  <c r="C23" i="31"/>
  <c r="C14" i="32"/>
  <c r="C22" i="32"/>
  <c r="C9" i="33"/>
  <c r="C34" i="33"/>
  <c r="C19" i="34"/>
  <c r="C20" i="35"/>
  <c r="I130" i="9"/>
  <c r="I166" i="9"/>
  <c r="C37" i="1"/>
  <c r="C29" i="34"/>
  <c r="C37" i="34"/>
  <c r="C29" i="31"/>
  <c r="C40" i="36"/>
  <c r="C40" i="37"/>
  <c r="C36" i="32"/>
  <c r="C29" i="1"/>
  <c r="C37" i="31"/>
  <c r="C44" i="33"/>
  <c r="C40" i="34"/>
  <c r="C29" i="37"/>
  <c r="C36" i="1"/>
  <c r="C29" i="32"/>
  <c r="C37" i="32"/>
  <c r="C44" i="1"/>
  <c r="C29" i="33"/>
  <c r="C40" i="1"/>
  <c r="C30" i="1"/>
  <c r="F8" i="31"/>
  <c r="C39" i="31"/>
  <c r="F9" i="32"/>
  <c r="C30" i="32"/>
  <c r="F12" i="33"/>
  <c r="AQ288" i="17" s="1"/>
  <c r="AR288" i="17" s="1"/>
  <c r="F14" i="34"/>
  <c r="AV290" i="17" s="1"/>
  <c r="AW290" i="17" s="1"/>
  <c r="F15" i="34"/>
  <c r="AV291" i="17" s="1"/>
  <c r="AW291" i="17" s="1"/>
  <c r="F16" i="34"/>
  <c r="AV292" i="17" s="1"/>
  <c r="AW292" i="17" s="1"/>
  <c r="F17" i="34"/>
  <c r="AV293" i="17" s="1"/>
  <c r="AW293" i="17" s="1"/>
  <c r="F18" i="34"/>
  <c r="AV294" i="17" s="1"/>
  <c r="AW294" i="17" s="1"/>
  <c r="F19" i="34"/>
  <c r="AV295" i="17" s="1"/>
  <c r="AW295" i="17" s="1"/>
  <c r="F20" i="34"/>
  <c r="AV296" i="17" s="1"/>
  <c r="AW296" i="17" s="1"/>
  <c r="F21" i="34"/>
  <c r="AV297" i="17" s="1"/>
  <c r="AW297" i="17" s="1"/>
  <c r="F22" i="34"/>
  <c r="AV298" i="17" s="1"/>
  <c r="AW298" i="17" s="1"/>
  <c r="F23" i="34"/>
  <c r="AV299" i="17" s="1"/>
  <c r="AW299" i="17" s="1"/>
  <c r="F9" i="36"/>
  <c r="F15" i="36"/>
  <c r="F12" i="37"/>
  <c r="BA288" i="17" s="1"/>
  <c r="BB288" i="17" s="1"/>
  <c r="F20" i="37"/>
  <c r="BA296" i="17" s="1"/>
  <c r="BB296" i="17" s="1"/>
  <c r="I12" i="9"/>
  <c r="I41" i="9"/>
  <c r="I47" i="9"/>
  <c r="I77" i="9"/>
  <c r="I137" i="9"/>
  <c r="F10" i="1"/>
  <c r="C36" i="31"/>
  <c r="F8" i="32"/>
  <c r="C32" i="32"/>
  <c r="C44" i="32"/>
  <c r="F11" i="33"/>
  <c r="AQ287" i="17" s="1"/>
  <c r="AR287" i="17" s="1"/>
  <c r="C30" i="33"/>
  <c r="C40" i="33"/>
  <c r="F13" i="34"/>
  <c r="AV289" i="17" s="1"/>
  <c r="AW289" i="17" s="1"/>
  <c r="C32" i="34"/>
  <c r="F11" i="35"/>
  <c r="F14" i="36"/>
  <c r="F19" i="37"/>
  <c r="BA295" i="17" s="1"/>
  <c r="BB295" i="17" s="1"/>
  <c r="C32" i="37"/>
  <c r="C37" i="37"/>
  <c r="I25" i="9"/>
  <c r="I36" i="9"/>
  <c r="I53" i="9"/>
  <c r="I114" i="9"/>
  <c r="I119" i="9"/>
  <c r="I125" i="9"/>
  <c r="I149" i="9"/>
  <c r="I155" i="9"/>
  <c r="I191" i="9"/>
  <c r="I167" i="9"/>
  <c r="F8" i="1"/>
  <c r="I179" i="9"/>
  <c r="F8" i="33"/>
  <c r="AQ284" i="17" s="1"/>
  <c r="AR284" i="17" s="1"/>
  <c r="C30" i="35"/>
  <c r="F20" i="36"/>
  <c r="F22" i="36"/>
  <c r="I33" i="9"/>
  <c r="I85" i="9"/>
  <c r="I168" i="9"/>
  <c r="C31" i="1"/>
  <c r="F11" i="31"/>
  <c r="C40" i="31"/>
  <c r="C31" i="32"/>
  <c r="C38" i="32"/>
  <c r="F9" i="35"/>
  <c r="F21" i="35"/>
  <c r="F11" i="36"/>
  <c r="F18" i="36"/>
  <c r="F14" i="37"/>
  <c r="BA290" i="17" s="1"/>
  <c r="BB290" i="17" s="1"/>
  <c r="C33" i="32"/>
  <c r="C41" i="32"/>
  <c r="I45" i="9"/>
  <c r="I70" i="9"/>
  <c r="I75" i="9"/>
  <c r="I97" i="9"/>
  <c r="C38" i="31"/>
  <c r="I96" i="9"/>
  <c r="F12" i="31"/>
  <c r="F22" i="35"/>
  <c r="F19" i="36"/>
  <c r="F21" i="36"/>
  <c r="F23" i="36"/>
  <c r="F10" i="37"/>
  <c r="BA286" i="17" s="1"/>
  <c r="BB286" i="17" s="1"/>
  <c r="F15" i="37"/>
  <c r="BA291" i="17" s="1"/>
  <c r="BB291" i="17" s="1"/>
  <c r="I49" i="9"/>
  <c r="F14" i="1"/>
  <c r="F15" i="1"/>
  <c r="F17" i="1"/>
  <c r="F18" i="1"/>
  <c r="F19" i="1"/>
  <c r="F20" i="1"/>
  <c r="F21" i="1"/>
  <c r="F22" i="1"/>
  <c r="F23" i="1"/>
  <c r="C38" i="1"/>
  <c r="F10" i="31"/>
  <c r="F11" i="32"/>
  <c r="F13" i="32"/>
  <c r="F14" i="32"/>
  <c r="F15" i="32"/>
  <c r="F16" i="32"/>
  <c r="F17" i="32"/>
  <c r="F18" i="32"/>
  <c r="F19" i="32"/>
  <c r="F20" i="32"/>
  <c r="F21" i="32"/>
  <c r="F22" i="32"/>
  <c r="F23" i="32"/>
  <c r="F8" i="34"/>
  <c r="AV284" i="17" s="1"/>
  <c r="AW284" i="17" s="1"/>
  <c r="F13" i="35"/>
  <c r="F14" i="35"/>
  <c r="F15" i="35"/>
  <c r="F16" i="35"/>
  <c r="F17" i="35"/>
  <c r="F18" i="35"/>
  <c r="F19" i="35"/>
  <c r="F20" i="35"/>
  <c r="C38" i="35"/>
  <c r="F17" i="36"/>
  <c r="F9" i="37"/>
  <c r="BA285" i="17" s="1"/>
  <c r="BB285" i="17" s="1"/>
  <c r="F13" i="37"/>
  <c r="BA289" i="17" s="1"/>
  <c r="BB289" i="17" s="1"/>
  <c r="I23" i="9"/>
  <c r="I34" i="9"/>
  <c r="I86" i="9"/>
  <c r="I123" i="9"/>
  <c r="I141" i="9"/>
  <c r="I153" i="9"/>
  <c r="I195" i="9"/>
  <c r="C38" i="34"/>
  <c r="F9" i="34"/>
  <c r="AV285" i="17" s="1"/>
  <c r="AW285" i="17" s="1"/>
  <c r="I145" i="9"/>
  <c r="F13" i="1"/>
  <c r="F16" i="1"/>
  <c r="F12" i="1"/>
  <c r="F9" i="31"/>
  <c r="C44" i="31"/>
  <c r="F10" i="32"/>
  <c r="F12" i="32"/>
  <c r="F13" i="33"/>
  <c r="AQ289" i="17" s="1"/>
  <c r="AR289" i="17" s="1"/>
  <c r="F14" i="33"/>
  <c r="AQ290" i="17" s="1"/>
  <c r="AR290" i="17" s="1"/>
  <c r="F15" i="33"/>
  <c r="AQ291" i="17" s="1"/>
  <c r="AR291" i="17" s="1"/>
  <c r="F16" i="33"/>
  <c r="AQ292" i="17" s="1"/>
  <c r="AR292" i="17" s="1"/>
  <c r="F17" i="33"/>
  <c r="AQ293" i="17" s="1"/>
  <c r="AR293" i="17" s="1"/>
  <c r="F18" i="33"/>
  <c r="AQ294" i="17" s="1"/>
  <c r="AR294" i="17" s="1"/>
  <c r="F19" i="33"/>
  <c r="AQ295" i="17" s="1"/>
  <c r="AR295" i="17" s="1"/>
  <c r="F20" i="33"/>
  <c r="AQ296" i="17" s="1"/>
  <c r="AR296" i="17" s="1"/>
  <c r="F21" i="33"/>
  <c r="AQ297" i="17" s="1"/>
  <c r="AR297" i="17" s="1"/>
  <c r="F22" i="33"/>
  <c r="AQ298" i="17" s="1"/>
  <c r="AR298" i="17" s="1"/>
  <c r="F23" i="33"/>
  <c r="AQ299" i="17" s="1"/>
  <c r="AR299" i="17" s="1"/>
  <c r="F8" i="35"/>
  <c r="F12" i="35"/>
  <c r="F10" i="36"/>
  <c r="F16" i="36"/>
  <c r="F21" i="37"/>
  <c r="BA297" i="17" s="1"/>
  <c r="BB297" i="17" s="1"/>
  <c r="F22" i="37"/>
  <c r="BA298" i="17" s="1"/>
  <c r="BB298" i="17" s="1"/>
  <c r="C35" i="34"/>
  <c r="C43" i="1"/>
  <c r="I71" i="9"/>
  <c r="I93" i="9"/>
  <c r="I118" i="9"/>
  <c r="E172" i="2"/>
  <c r="E180" i="2"/>
  <c r="M142" i="2"/>
  <c r="M148" i="2"/>
  <c r="N139" i="2"/>
  <c r="N140" i="2"/>
  <c r="N149" i="2"/>
  <c r="N150" i="2"/>
  <c r="N151" i="2"/>
  <c r="N152" i="2"/>
  <c r="E176" i="2"/>
  <c r="M143" i="2"/>
  <c r="M147" i="2"/>
  <c r="K141" i="2"/>
  <c r="K146" i="2"/>
  <c r="K147" i="2"/>
  <c r="K150" i="2"/>
  <c r="K151" i="2"/>
  <c r="M141" i="2"/>
  <c r="L140" i="2"/>
  <c r="L141" i="2"/>
  <c r="L145" i="2"/>
  <c r="L146" i="2"/>
  <c r="L149" i="2"/>
  <c r="E167" i="2"/>
  <c r="AO141" i="17"/>
  <c r="AO129" i="17"/>
  <c r="AO328" i="17" s="1"/>
  <c r="AP129" i="17"/>
  <c r="AP328" i="17" s="1"/>
  <c r="AP141" i="17"/>
  <c r="AQ129" i="17"/>
  <c r="AQ328" i="17" s="1"/>
  <c r="AQ141" i="17"/>
  <c r="AJ141" i="17"/>
  <c r="AJ129" i="17"/>
  <c r="AJ328" i="17" s="1"/>
  <c r="AK141" i="17"/>
  <c r="AK129" i="17"/>
  <c r="AK328" i="17" s="1"/>
  <c r="AL141" i="17"/>
  <c r="AL129" i="17"/>
  <c r="AL328" i="17" s="1"/>
  <c r="AM129" i="17"/>
  <c r="AM328" i="17" s="1"/>
  <c r="AM141" i="17"/>
  <c r="AN141" i="17"/>
  <c r="AN129" i="17"/>
  <c r="AN328" i="17" s="1"/>
  <c r="H166" i="2"/>
  <c r="H172" i="2"/>
  <c r="H180" i="2"/>
  <c r="L154" i="2"/>
  <c r="N146" i="2"/>
  <c r="N148" i="2"/>
  <c r="L153" i="2"/>
  <c r="K139" i="2"/>
  <c r="H167" i="2"/>
  <c r="H175" i="2"/>
  <c r="K153" i="2"/>
  <c r="I160" i="9"/>
  <c r="C41" i="36"/>
  <c r="C43" i="37"/>
  <c r="I158" i="9"/>
  <c r="I110" i="9"/>
  <c r="I62" i="9"/>
  <c r="I14" i="9"/>
  <c r="I98" i="9"/>
  <c r="I50" i="9"/>
  <c r="I146" i="9"/>
  <c r="I38" i="9"/>
  <c r="I194" i="9"/>
  <c r="I182" i="9"/>
  <c r="I122" i="9"/>
  <c r="I20" i="9"/>
  <c r="I134" i="9"/>
  <c r="C35" i="32"/>
  <c r="C43" i="32"/>
  <c r="C35" i="33"/>
  <c r="C15" i="36"/>
  <c r="C16" i="36"/>
  <c r="C17" i="36"/>
  <c r="C18" i="36"/>
  <c r="C19" i="36"/>
  <c r="E177" i="2"/>
  <c r="E179" i="2"/>
  <c r="I151" i="9"/>
  <c r="I91" i="9"/>
  <c r="I43" i="9"/>
  <c r="I139" i="9"/>
  <c r="I31" i="9"/>
  <c r="I127" i="9"/>
  <c r="I103" i="9"/>
  <c r="I7" i="9"/>
  <c r="I147" i="9"/>
  <c r="I39" i="9"/>
  <c r="I87" i="9"/>
  <c r="I135" i="9"/>
  <c r="I27" i="9"/>
  <c r="I111" i="9"/>
  <c r="I63" i="9"/>
  <c r="I15" i="9"/>
  <c r="I16" i="9"/>
  <c r="I51" i="9"/>
  <c r="I67" i="9"/>
  <c r="I128" i="9"/>
  <c r="I80" i="9"/>
  <c r="I188" i="9"/>
  <c r="I92" i="9"/>
  <c r="I44" i="9"/>
  <c r="I140" i="9"/>
  <c r="E170" i="2"/>
  <c r="I68" i="9"/>
  <c r="I136" i="9"/>
  <c r="I32" i="9"/>
  <c r="I64" i="9"/>
  <c r="I152" i="9"/>
  <c r="AL285" i="17"/>
  <c r="AM285" i="17" s="1"/>
  <c r="C35" i="31"/>
  <c r="C43" i="31"/>
  <c r="C11" i="36"/>
  <c r="C37" i="36"/>
  <c r="C8" i="37"/>
  <c r="C30" i="37"/>
  <c r="M144" i="2"/>
  <c r="M146" i="2"/>
  <c r="L150" i="2"/>
  <c r="L151" i="2"/>
  <c r="K154" i="2"/>
  <c r="I74" i="9"/>
  <c r="I99" i="9"/>
  <c r="I104" i="9"/>
  <c r="I171" i="9"/>
  <c r="C33" i="31"/>
  <c r="C41" i="31"/>
  <c r="E168" i="2"/>
  <c r="AL287" i="17"/>
  <c r="AM287" i="17" s="1"/>
  <c r="C33" i="1"/>
  <c r="C35" i="1"/>
  <c r="C44" i="37"/>
  <c r="C33" i="37"/>
  <c r="C17" i="37"/>
  <c r="C16" i="37"/>
  <c r="C15" i="37"/>
  <c r="C14" i="37"/>
  <c r="C13" i="37"/>
  <c r="C40" i="35"/>
  <c r="C37" i="35"/>
  <c r="C31" i="35"/>
  <c r="C8" i="35"/>
  <c r="C41" i="34"/>
  <c r="C43" i="33"/>
  <c r="C39" i="37"/>
  <c r="C36" i="37"/>
  <c r="C39" i="36"/>
  <c r="C36" i="36"/>
  <c r="C33" i="36"/>
  <c r="C31" i="36"/>
  <c r="C43" i="35"/>
  <c r="C34" i="35"/>
  <c r="C9" i="35"/>
  <c r="C44" i="34"/>
  <c r="C36" i="34"/>
  <c r="C33" i="34"/>
  <c r="C31" i="34"/>
  <c r="C42" i="37"/>
  <c r="C31" i="37"/>
  <c r="C42" i="36"/>
  <c r="C29" i="35"/>
  <c r="C23" i="35"/>
  <c r="C22" i="35"/>
  <c r="C21" i="35"/>
  <c r="C12" i="35"/>
  <c r="C11" i="35"/>
  <c r="C10" i="35"/>
  <c r="C39" i="34"/>
  <c r="C41" i="33"/>
  <c r="C33" i="33"/>
  <c r="C38" i="37"/>
  <c r="C35" i="37"/>
  <c r="C21" i="37"/>
  <c r="C20" i="37"/>
  <c r="C19" i="37"/>
  <c r="C11" i="37"/>
  <c r="C10" i="37"/>
  <c r="C38" i="36"/>
  <c r="C35" i="36"/>
  <c r="C14" i="36"/>
  <c r="C12" i="36"/>
  <c r="C42" i="35"/>
  <c r="C39" i="35"/>
  <c r="C36" i="35"/>
  <c r="C33" i="35"/>
  <c r="C43" i="34"/>
  <c r="C30" i="34"/>
  <c r="C14" i="34"/>
  <c r="C13" i="34"/>
  <c r="C11" i="34"/>
  <c r="C9" i="34"/>
  <c r="I132" i="9"/>
  <c r="I192" i="9"/>
  <c r="I180" i="9"/>
  <c r="I120" i="9"/>
  <c r="I72" i="9"/>
  <c r="I24" i="9"/>
  <c r="I144" i="9"/>
  <c r="I84" i="9"/>
  <c r="I116" i="9"/>
  <c r="I176" i="9"/>
  <c r="I28" i="9"/>
  <c r="I76" i="9"/>
  <c r="I196" i="9"/>
  <c r="I184" i="9"/>
  <c r="I124" i="9"/>
  <c r="I148" i="9"/>
  <c r="I88" i="9"/>
  <c r="I40" i="9"/>
  <c r="I56" i="9"/>
  <c r="C41" i="1"/>
  <c r="C32" i="35"/>
  <c r="C41" i="35"/>
  <c r="C9" i="36"/>
  <c r="C30" i="36"/>
  <c r="C32" i="36"/>
  <c r="C34" i="36"/>
  <c r="C44" i="36"/>
  <c r="C12" i="37"/>
  <c r="C34" i="37"/>
  <c r="C41" i="37"/>
  <c r="I8" i="9"/>
  <c r="I60" i="9"/>
  <c r="I100" i="9"/>
  <c r="I112" i="9"/>
  <c r="I163" i="9"/>
  <c r="I172" i="9"/>
  <c r="I183" i="9"/>
  <c r="K140" i="2"/>
  <c r="N141" i="2"/>
  <c r="N142" i="2"/>
  <c r="N147" i="2"/>
  <c r="M151" i="2"/>
  <c r="M152" i="2"/>
  <c r="E166" i="2"/>
  <c r="H171" i="2"/>
  <c r="E173" i="2"/>
  <c r="E175" i="2"/>
  <c r="I11" i="9"/>
  <c r="I22" i="9"/>
  <c r="I29" i="9"/>
  <c r="I59" i="9"/>
  <c r="I81" i="9"/>
  <c r="I107" i="9"/>
  <c r="I129" i="9"/>
  <c r="I133" i="9"/>
  <c r="I178" i="9"/>
  <c r="I186" i="9"/>
  <c r="I190" i="9"/>
  <c r="I198" i="9"/>
  <c r="E165" i="2"/>
  <c r="H168" i="2"/>
  <c r="E174" i="2"/>
  <c r="H177" i="2"/>
  <c r="I9" i="9"/>
  <c r="I13" i="9"/>
  <c r="I17" i="9"/>
  <c r="I42" i="9"/>
  <c r="I46" i="9"/>
  <c r="I57" i="9"/>
  <c r="I61" i="9"/>
  <c r="I65" i="9"/>
  <c r="I90" i="9"/>
  <c r="I94" i="9"/>
  <c r="I105" i="9"/>
  <c r="I109" i="9"/>
  <c r="I113" i="9"/>
  <c r="I131" i="9"/>
  <c r="I150" i="9"/>
  <c r="I157" i="9"/>
  <c r="K142" i="2"/>
  <c r="K143" i="2"/>
  <c r="K144" i="2"/>
  <c r="K145" i="2"/>
  <c r="K148" i="2"/>
  <c r="K149" i="2"/>
  <c r="I35" i="9"/>
  <c r="I54" i="9"/>
  <c r="I69" i="9"/>
  <c r="I83" i="9"/>
  <c r="I102" i="9"/>
  <c r="I117" i="9"/>
  <c r="I154" i="9"/>
  <c r="I161" i="9"/>
  <c r="I165" i="9"/>
  <c r="I169" i="9"/>
  <c r="I173" i="9"/>
  <c r="K152" i="2"/>
  <c r="E169" i="2"/>
  <c r="E171" i="2"/>
  <c r="H174" i="2"/>
  <c r="I10" i="9"/>
  <c r="I58" i="9"/>
  <c r="I73" i="9"/>
  <c r="I95" i="9"/>
  <c r="I121" i="9"/>
  <c r="I177" i="9"/>
  <c r="I181" i="9"/>
  <c r="I185" i="9"/>
  <c r="H170" i="2"/>
  <c r="N154" i="2"/>
  <c r="L152" i="2"/>
  <c r="E178" i="2"/>
  <c r="H173" i="2"/>
  <c r="H179" i="2"/>
  <c r="L144" i="2"/>
  <c r="N145" i="2"/>
  <c r="H176" i="2"/>
  <c r="M139" i="2"/>
  <c r="N153" i="2"/>
  <c r="M154" i="2"/>
  <c r="H178" i="2"/>
  <c r="N143" i="2"/>
  <c r="H169" i="2"/>
  <c r="L142" i="2"/>
  <c r="L148" i="2"/>
  <c r="M150" i="2"/>
  <c r="M140" i="2"/>
  <c r="L143" i="2"/>
  <c r="N144" i="2"/>
  <c r="L147" i="2"/>
  <c r="L139" i="2"/>
  <c r="M145" i="2"/>
  <c r="M149" i="2"/>
  <c r="M153" i="2"/>
  <c r="AJ157" i="17"/>
  <c r="AJ167" i="17"/>
  <c r="AZ284" i="17" l="1"/>
  <c r="AP284" i="17"/>
  <c r="G29" i="37"/>
  <c r="G29" i="31"/>
  <c r="G29" i="33"/>
  <c r="G29" i="34"/>
  <c r="G29" i="36"/>
  <c r="G29" i="35"/>
  <c r="G29" i="32"/>
  <c r="H15" i="1"/>
  <c r="H12" i="1"/>
  <c r="H17" i="1"/>
  <c r="J17" i="1" s="1"/>
  <c r="I8" i="1"/>
  <c r="H16" i="1"/>
  <c r="J16" i="1" s="1"/>
  <c r="H22" i="1"/>
  <c r="J22" i="1" s="1"/>
  <c r="I18" i="1"/>
  <c r="H23" i="1"/>
  <c r="J23" i="1" s="1"/>
  <c r="H21" i="1"/>
  <c r="J21" i="1" s="1"/>
  <c r="H20" i="1"/>
  <c r="J20" i="1" s="1"/>
  <c r="H19" i="1"/>
  <c r="J19" i="1" s="1"/>
  <c r="H10" i="1"/>
  <c r="J10" i="1" s="1"/>
  <c r="I13" i="1"/>
  <c r="I14" i="1"/>
  <c r="H13" i="1"/>
  <c r="J13" i="1" s="1"/>
  <c r="I19" i="1"/>
  <c r="H8" i="1"/>
  <c r="J8" i="1" s="1"/>
  <c r="I12" i="1"/>
  <c r="I22" i="1"/>
  <c r="I16" i="1"/>
  <c r="I17" i="1"/>
  <c r="H18" i="1"/>
  <c r="J18" i="1" s="1"/>
  <c r="I21" i="1"/>
  <c r="I20" i="1"/>
  <c r="I23" i="1"/>
  <c r="H11" i="1"/>
  <c r="J11" i="1" s="1"/>
  <c r="H14" i="1"/>
  <c r="J14" i="1" s="1"/>
  <c r="I10" i="1"/>
  <c r="I15" i="1"/>
  <c r="H9" i="1"/>
  <c r="J9" i="1" s="1"/>
  <c r="G132" i="9"/>
  <c r="J132" i="9" s="1"/>
  <c r="O132" i="9" s="1"/>
  <c r="E273" i="2"/>
  <c r="E274" i="2" s="1"/>
  <c r="F273" i="2"/>
  <c r="G131" i="9"/>
  <c r="J131" i="9" s="1"/>
  <c r="N131" i="9" s="1"/>
  <c r="AS306" i="17"/>
  <c r="AL299" i="17"/>
  <c r="AM299" i="17" s="1"/>
  <c r="AL290" i="17"/>
  <c r="AM290" i="17" s="1"/>
  <c r="AL292" i="17"/>
  <c r="AM292" i="17" s="1"/>
  <c r="AL298" i="17"/>
  <c r="AM298" i="17" s="1"/>
  <c r="AL289" i="17"/>
  <c r="AM289" i="17" s="1"/>
  <c r="AX304" i="17"/>
  <c r="AL291" i="17"/>
  <c r="AM291" i="17" s="1"/>
  <c r="G74" i="9"/>
  <c r="J74" i="9" s="1"/>
  <c r="P74" i="9" s="1"/>
  <c r="AL297" i="17"/>
  <c r="AM297" i="17" s="1"/>
  <c r="BC304" i="17"/>
  <c r="AL293" i="17"/>
  <c r="AM293" i="17" s="1"/>
  <c r="G127" i="9"/>
  <c r="J127" i="9" s="1"/>
  <c r="N127" i="9" s="1"/>
  <c r="G128" i="9"/>
  <c r="J128" i="9" s="1"/>
  <c r="R128" i="9" s="1"/>
  <c r="G129" i="9"/>
  <c r="J129" i="9" s="1"/>
  <c r="R129" i="9" s="1"/>
  <c r="G138" i="9"/>
  <c r="J138" i="9" s="1"/>
  <c r="O138" i="9" s="1"/>
  <c r="G134" i="9"/>
  <c r="J134" i="9" s="1"/>
  <c r="G136" i="9"/>
  <c r="J136" i="9" s="1"/>
  <c r="O136" i="9" s="1"/>
  <c r="G137" i="9"/>
  <c r="J137" i="9" s="1"/>
  <c r="R137" i="9" s="1"/>
  <c r="G130" i="9"/>
  <c r="J130" i="9" s="1"/>
  <c r="Q130" i="9" s="1"/>
  <c r="G135" i="9"/>
  <c r="J135" i="9" s="1"/>
  <c r="P135" i="9" s="1"/>
  <c r="G87" i="9"/>
  <c r="J87" i="9" s="1"/>
  <c r="P87" i="9" s="1"/>
  <c r="G194" i="9"/>
  <c r="J194" i="9" s="1"/>
  <c r="Q194" i="9" s="1"/>
  <c r="G19" i="9"/>
  <c r="J19" i="9" s="1"/>
  <c r="G139" i="9"/>
  <c r="J139" i="9" s="1"/>
  <c r="L139" i="9" s="1"/>
  <c r="G7" i="9"/>
  <c r="J7" i="9" s="1"/>
  <c r="L7" i="9" s="1"/>
  <c r="G96" i="9"/>
  <c r="J96" i="9" s="1"/>
  <c r="N96" i="9" s="1"/>
  <c r="I165" i="2"/>
  <c r="O29" i="31" s="1"/>
  <c r="G37" i="9"/>
  <c r="J37" i="9" s="1"/>
  <c r="Q37" i="9" s="1"/>
  <c r="G47" i="9"/>
  <c r="J47" i="9" s="1"/>
  <c r="P47" i="9" s="1"/>
  <c r="G179" i="9"/>
  <c r="J179" i="9" s="1"/>
  <c r="P179" i="9" s="1"/>
  <c r="D289" i="2"/>
  <c r="C289" i="2"/>
  <c r="G104" i="9"/>
  <c r="J104" i="9" s="1"/>
  <c r="R104" i="9" s="1"/>
  <c r="G69" i="9"/>
  <c r="J69" i="9" s="1"/>
  <c r="O69" i="9" s="1"/>
  <c r="G189" i="9"/>
  <c r="J189" i="9" s="1"/>
  <c r="L189" i="9" s="1"/>
  <c r="G115" i="9"/>
  <c r="J115" i="9" s="1"/>
  <c r="G183" i="9"/>
  <c r="J183" i="9" s="1"/>
  <c r="G176" i="9"/>
  <c r="J176" i="9" s="1"/>
  <c r="O176" i="9" s="1"/>
  <c r="G77" i="9"/>
  <c r="J77" i="9" s="1"/>
  <c r="G73" i="9"/>
  <c r="J73" i="9" s="1"/>
  <c r="L73" i="9" s="1"/>
  <c r="G75" i="9"/>
  <c r="J75" i="9" s="1"/>
  <c r="P75" i="9" s="1"/>
  <c r="G76" i="9"/>
  <c r="J76" i="9" s="1"/>
  <c r="Q76" i="9" s="1"/>
  <c r="G78" i="9"/>
  <c r="J78" i="9" s="1"/>
  <c r="N78" i="9" s="1"/>
  <c r="G68" i="9"/>
  <c r="J68" i="9" s="1"/>
  <c r="G67" i="9"/>
  <c r="J67" i="9" s="1"/>
  <c r="Q67" i="9" s="1"/>
  <c r="AL284" i="17"/>
  <c r="AM284" i="17" s="1"/>
  <c r="G32" i="9"/>
  <c r="J32" i="9" s="1"/>
  <c r="G20" i="9"/>
  <c r="J20" i="9" s="1"/>
  <c r="N20" i="9" s="1"/>
  <c r="G70" i="9"/>
  <c r="J70" i="9" s="1"/>
  <c r="R70" i="9" s="1"/>
  <c r="I169" i="2"/>
  <c r="O33" i="37" s="1"/>
  <c r="AL294" i="17"/>
  <c r="AM294" i="17" s="1"/>
  <c r="G72" i="9"/>
  <c r="J72" i="9" s="1"/>
  <c r="O72" i="9" s="1"/>
  <c r="G71" i="9"/>
  <c r="J71" i="9" s="1"/>
  <c r="L71" i="9" s="1"/>
  <c r="G187" i="9"/>
  <c r="J187" i="9" s="1"/>
  <c r="M187" i="9" s="1"/>
  <c r="G168" i="9"/>
  <c r="J168" i="9" s="1"/>
  <c r="N168" i="9" s="1"/>
  <c r="G173" i="9"/>
  <c r="J173" i="9" s="1"/>
  <c r="K173" i="9" s="1"/>
  <c r="G167" i="9"/>
  <c r="J167" i="9" s="1"/>
  <c r="M167" i="9" s="1"/>
  <c r="G198" i="9"/>
  <c r="J198" i="9" s="1"/>
  <c r="P198" i="9" s="1"/>
  <c r="G117" i="9"/>
  <c r="J117" i="9" s="1"/>
  <c r="K117" i="9" s="1"/>
  <c r="G196" i="9"/>
  <c r="J196" i="9" s="1"/>
  <c r="O196" i="9" s="1"/>
  <c r="G126" i="9"/>
  <c r="J126" i="9" s="1"/>
  <c r="P126" i="9" s="1"/>
  <c r="G191" i="9"/>
  <c r="J191" i="9" s="1"/>
  <c r="M191" i="9" s="1"/>
  <c r="G124" i="9"/>
  <c r="J124" i="9" s="1"/>
  <c r="M124" i="9" s="1"/>
  <c r="G195" i="9"/>
  <c r="J195" i="9" s="1"/>
  <c r="N195" i="9" s="1"/>
  <c r="G123" i="9"/>
  <c r="J123" i="9" s="1"/>
  <c r="L123" i="9" s="1"/>
  <c r="G119" i="9"/>
  <c r="J119" i="9" s="1"/>
  <c r="P119" i="9" s="1"/>
  <c r="G122" i="9"/>
  <c r="J122" i="9" s="1"/>
  <c r="N122" i="9" s="1"/>
  <c r="G48" i="9"/>
  <c r="J48" i="9" s="1"/>
  <c r="L48" i="9" s="1"/>
  <c r="G51" i="9"/>
  <c r="J51" i="9" s="1"/>
  <c r="L51" i="9" s="1"/>
  <c r="G85" i="9"/>
  <c r="J85" i="9" s="1"/>
  <c r="O85" i="9" s="1"/>
  <c r="G45" i="9"/>
  <c r="J45" i="9" s="1"/>
  <c r="O45" i="9" s="1"/>
  <c r="G22" i="9"/>
  <c r="J22" i="9" s="1"/>
  <c r="O22" i="9" s="1"/>
  <c r="G163" i="9"/>
  <c r="J163" i="9" s="1"/>
  <c r="K163" i="9" s="1"/>
  <c r="G172" i="9"/>
  <c r="J172" i="9" s="1"/>
  <c r="G53" i="9"/>
  <c r="J53" i="9" s="1"/>
  <c r="M53" i="9" s="1"/>
  <c r="G46" i="9"/>
  <c r="J46" i="9" s="1"/>
  <c r="P46" i="9" s="1"/>
  <c r="G52" i="9"/>
  <c r="J52" i="9" s="1"/>
  <c r="R52" i="9" s="1"/>
  <c r="G44" i="9"/>
  <c r="J44" i="9" s="1"/>
  <c r="G50" i="9"/>
  <c r="J50" i="9" s="1"/>
  <c r="L50" i="9" s="1"/>
  <c r="G149" i="9"/>
  <c r="J149" i="9" s="1"/>
  <c r="O149" i="9" s="1"/>
  <c r="G43" i="9"/>
  <c r="J43" i="9" s="1"/>
  <c r="G49" i="9"/>
  <c r="J49" i="9" s="1"/>
  <c r="G54" i="9"/>
  <c r="J54" i="9" s="1"/>
  <c r="L54" i="9" s="1"/>
  <c r="AL286" i="17"/>
  <c r="AM286" i="17" s="1"/>
  <c r="G170" i="9"/>
  <c r="J170" i="9" s="1"/>
  <c r="R170" i="9" s="1"/>
  <c r="G33" i="9"/>
  <c r="J33" i="9" s="1"/>
  <c r="L33" i="9" s="1"/>
  <c r="G174" i="9"/>
  <c r="J174" i="9" s="1"/>
  <c r="P174" i="9" s="1"/>
  <c r="G169" i="9"/>
  <c r="J169" i="9" s="1"/>
  <c r="M169" i="9" s="1"/>
  <c r="G164" i="9"/>
  <c r="J164" i="9" s="1"/>
  <c r="N164" i="9" s="1"/>
  <c r="G166" i="9"/>
  <c r="J166" i="9" s="1"/>
  <c r="N166" i="9" s="1"/>
  <c r="G165" i="9"/>
  <c r="J165" i="9" s="1"/>
  <c r="K165" i="9" s="1"/>
  <c r="I174" i="2"/>
  <c r="O38" i="34" s="1"/>
  <c r="G21" i="9"/>
  <c r="J21" i="9" s="1"/>
  <c r="N21" i="9" s="1"/>
  <c r="G171" i="9"/>
  <c r="J171" i="9" s="1"/>
  <c r="K171" i="9" s="1"/>
  <c r="G112" i="9"/>
  <c r="J112" i="9" s="1"/>
  <c r="L112" i="9" s="1"/>
  <c r="G111" i="9"/>
  <c r="J111" i="9" s="1"/>
  <c r="M111" i="9" s="1"/>
  <c r="I166" i="2"/>
  <c r="O30" i="31" s="1"/>
  <c r="G114" i="9"/>
  <c r="J114" i="9" s="1"/>
  <c r="Q114" i="9" s="1"/>
  <c r="G113" i="9"/>
  <c r="J113" i="9" s="1"/>
  <c r="P113" i="9" s="1"/>
  <c r="G55" i="9"/>
  <c r="J55" i="9" s="1"/>
  <c r="K55" i="9" s="1"/>
  <c r="G106" i="9"/>
  <c r="J106" i="9" s="1"/>
  <c r="M106" i="9" s="1"/>
  <c r="G18" i="9"/>
  <c r="J18" i="9" s="1"/>
  <c r="Q18" i="9" s="1"/>
  <c r="G100" i="9"/>
  <c r="J100" i="9" s="1"/>
  <c r="O146" i="2"/>
  <c r="G103" i="9"/>
  <c r="J103" i="9" s="1"/>
  <c r="K103" i="9" s="1"/>
  <c r="I180" i="2"/>
  <c r="O44" i="31" s="1"/>
  <c r="G109" i="9"/>
  <c r="J109" i="9" s="1"/>
  <c r="M109" i="9" s="1"/>
  <c r="G107" i="9"/>
  <c r="J107" i="9" s="1"/>
  <c r="Q107" i="9" s="1"/>
  <c r="G98" i="9"/>
  <c r="J98" i="9" s="1"/>
  <c r="R98" i="9" s="1"/>
  <c r="I172" i="2"/>
  <c r="O36" i="36" s="1"/>
  <c r="G108" i="9"/>
  <c r="J108" i="9" s="1"/>
  <c r="P108" i="9" s="1"/>
  <c r="G105" i="9"/>
  <c r="J105" i="9" s="1"/>
  <c r="L105" i="9" s="1"/>
  <c r="G110" i="9"/>
  <c r="J110" i="9" s="1"/>
  <c r="K110" i="9" s="1"/>
  <c r="I167" i="2"/>
  <c r="O31" i="1" s="1"/>
  <c r="G40" i="9"/>
  <c r="J40" i="9" s="1"/>
  <c r="L40" i="9" s="1"/>
  <c r="G41" i="9"/>
  <c r="J41" i="9" s="1"/>
  <c r="K41" i="9" s="1"/>
  <c r="G181" i="9"/>
  <c r="J181" i="9" s="1"/>
  <c r="K181" i="9" s="1"/>
  <c r="G118" i="9"/>
  <c r="J118" i="9" s="1"/>
  <c r="N118" i="9" s="1"/>
  <c r="G24" i="9"/>
  <c r="J24" i="9" s="1"/>
  <c r="N24" i="9" s="1"/>
  <c r="G64" i="9"/>
  <c r="J64" i="9" s="1"/>
  <c r="G34" i="9"/>
  <c r="J34" i="9" s="1"/>
  <c r="R34" i="9" s="1"/>
  <c r="G125" i="9"/>
  <c r="J125" i="9" s="1"/>
  <c r="G27" i="9"/>
  <c r="J27" i="9" s="1"/>
  <c r="G175" i="9"/>
  <c r="J175" i="9" s="1"/>
  <c r="L175" i="9" s="1"/>
  <c r="G186" i="9"/>
  <c r="J186" i="9" s="1"/>
  <c r="K186" i="9" s="1"/>
  <c r="G121" i="9"/>
  <c r="J121" i="9" s="1"/>
  <c r="L121" i="9" s="1"/>
  <c r="G26" i="9"/>
  <c r="J26" i="9" s="1"/>
  <c r="P26" i="9" s="1"/>
  <c r="G58" i="9"/>
  <c r="J58" i="9" s="1"/>
  <c r="O58" i="9" s="1"/>
  <c r="G35" i="9"/>
  <c r="J35" i="9" s="1"/>
  <c r="G36" i="9"/>
  <c r="J36" i="9" s="1"/>
  <c r="Q36" i="9" s="1"/>
  <c r="G25" i="9"/>
  <c r="J25" i="9" s="1"/>
  <c r="O25" i="9" s="1"/>
  <c r="G23" i="9"/>
  <c r="J23" i="9" s="1"/>
  <c r="K23" i="9" s="1"/>
  <c r="G42" i="9"/>
  <c r="J42" i="9" s="1"/>
  <c r="M42" i="9" s="1"/>
  <c r="G29" i="9"/>
  <c r="J29" i="9" s="1"/>
  <c r="P29" i="9" s="1"/>
  <c r="G28" i="9"/>
  <c r="J28" i="9" s="1"/>
  <c r="G39" i="9"/>
  <c r="J39" i="9" s="1"/>
  <c r="P39" i="9" s="1"/>
  <c r="G120" i="9"/>
  <c r="J120" i="9" s="1"/>
  <c r="G61" i="9"/>
  <c r="J61" i="9" s="1"/>
  <c r="Q61" i="9" s="1"/>
  <c r="G31" i="9"/>
  <c r="J31" i="9" s="1"/>
  <c r="G116" i="9"/>
  <c r="J116" i="9" s="1"/>
  <c r="G63" i="9"/>
  <c r="J63" i="9" s="1"/>
  <c r="G38" i="9"/>
  <c r="J38" i="9" s="1"/>
  <c r="L38" i="9" s="1"/>
  <c r="G101" i="9"/>
  <c r="J101" i="9" s="1"/>
  <c r="N101" i="9" s="1"/>
  <c r="G30" i="9"/>
  <c r="J30" i="9" s="1"/>
  <c r="M30" i="9" s="1"/>
  <c r="G11" i="9"/>
  <c r="J11" i="9" s="1"/>
  <c r="P11" i="9" s="1"/>
  <c r="G8" i="9"/>
  <c r="J8" i="9" s="1"/>
  <c r="G12" i="9"/>
  <c r="J12" i="9" s="1"/>
  <c r="G91" i="9"/>
  <c r="J91" i="9" s="1"/>
  <c r="G99" i="9"/>
  <c r="J99" i="9" s="1"/>
  <c r="O99" i="9" s="1"/>
  <c r="G10" i="9"/>
  <c r="J10" i="9" s="1"/>
  <c r="N10" i="9" s="1"/>
  <c r="G9" i="9"/>
  <c r="J9" i="9" s="1"/>
  <c r="G14" i="9"/>
  <c r="J14" i="9" s="1"/>
  <c r="Q14" i="9" s="1"/>
  <c r="G17" i="9"/>
  <c r="J17" i="9" s="1"/>
  <c r="K17" i="9" s="1"/>
  <c r="G93" i="9"/>
  <c r="J93" i="9" s="1"/>
  <c r="G13" i="9"/>
  <c r="J13" i="9" s="1"/>
  <c r="N13" i="9" s="1"/>
  <c r="G15" i="9"/>
  <c r="J15" i="9" s="1"/>
  <c r="M15" i="9" s="1"/>
  <c r="G94" i="9"/>
  <c r="J94" i="9" s="1"/>
  <c r="K94" i="9" s="1"/>
  <c r="G97" i="9"/>
  <c r="J97" i="9" s="1"/>
  <c r="M97" i="9" s="1"/>
  <c r="G92" i="9"/>
  <c r="J92" i="9" s="1"/>
  <c r="Q92" i="9" s="1"/>
  <c r="G16" i="9"/>
  <c r="J16" i="9" s="1"/>
  <c r="G95" i="9"/>
  <c r="J95" i="9" s="1"/>
  <c r="G102" i="9"/>
  <c r="J102" i="9" s="1"/>
  <c r="M102" i="9" s="1"/>
  <c r="G147" i="9"/>
  <c r="J147" i="9" s="1"/>
  <c r="G142" i="9"/>
  <c r="J142" i="9" s="1"/>
  <c r="P142" i="9" s="1"/>
  <c r="G59" i="9"/>
  <c r="J59" i="9" s="1"/>
  <c r="G140" i="9"/>
  <c r="J140" i="9" s="1"/>
  <c r="G148" i="9"/>
  <c r="J148" i="9" s="1"/>
  <c r="G193" i="9"/>
  <c r="J193" i="9" s="1"/>
  <c r="K193" i="9" s="1"/>
  <c r="G145" i="9"/>
  <c r="J145" i="9" s="1"/>
  <c r="K145" i="9" s="1"/>
  <c r="G57" i="9"/>
  <c r="J57" i="9" s="1"/>
  <c r="Q57" i="9" s="1"/>
  <c r="G141" i="9"/>
  <c r="J141" i="9" s="1"/>
  <c r="R141" i="9" s="1"/>
  <c r="G190" i="9"/>
  <c r="J190" i="9" s="1"/>
  <c r="M190" i="9" s="1"/>
  <c r="G144" i="9"/>
  <c r="J144" i="9" s="1"/>
  <c r="G62" i="9"/>
  <c r="J62" i="9" s="1"/>
  <c r="M62" i="9" s="1"/>
  <c r="G60" i="9"/>
  <c r="J60" i="9" s="1"/>
  <c r="O60" i="9" s="1"/>
  <c r="G146" i="9"/>
  <c r="J146" i="9" s="1"/>
  <c r="P146" i="9" s="1"/>
  <c r="G197" i="9"/>
  <c r="J197" i="9" s="1"/>
  <c r="Q197" i="9" s="1"/>
  <c r="G192" i="9"/>
  <c r="J192" i="9" s="1"/>
  <c r="G143" i="9"/>
  <c r="J143" i="9" s="1"/>
  <c r="M143" i="9" s="1"/>
  <c r="G150" i="9"/>
  <c r="J150" i="9" s="1"/>
  <c r="R150" i="9" s="1"/>
  <c r="G65" i="9"/>
  <c r="J65" i="9" s="1"/>
  <c r="G188" i="9"/>
  <c r="J188" i="9" s="1"/>
  <c r="AL296" i="17"/>
  <c r="AM296" i="17" s="1"/>
  <c r="G182" i="9"/>
  <c r="J182" i="9" s="1"/>
  <c r="L182" i="9" s="1"/>
  <c r="G178" i="9"/>
  <c r="J178" i="9" s="1"/>
  <c r="P178" i="9" s="1"/>
  <c r="AL295" i="17"/>
  <c r="AM295" i="17" s="1"/>
  <c r="G177" i="9"/>
  <c r="J177" i="9" s="1"/>
  <c r="M177" i="9" s="1"/>
  <c r="G185" i="9"/>
  <c r="J185" i="9" s="1"/>
  <c r="I171" i="2"/>
  <c r="O35" i="31" s="1"/>
  <c r="G184" i="9"/>
  <c r="J184" i="9" s="1"/>
  <c r="N184" i="9" s="1"/>
  <c r="AL288" i="17"/>
  <c r="AM288" i="17" s="1"/>
  <c r="G180" i="9"/>
  <c r="J180" i="9" s="1"/>
  <c r="R180" i="9" s="1"/>
  <c r="O44" i="32"/>
  <c r="O140" i="2"/>
  <c r="O151" i="2"/>
  <c r="K41" i="37" s="1"/>
  <c r="O139" i="2"/>
  <c r="K29" i="1" s="1"/>
  <c r="I176" i="2"/>
  <c r="O40" i="37" s="1"/>
  <c r="I173" i="2"/>
  <c r="O37" i="35" s="1"/>
  <c r="O141" i="2"/>
  <c r="AS304" i="17"/>
  <c r="G154" i="9"/>
  <c r="J154" i="9" s="1"/>
  <c r="G151" i="9"/>
  <c r="J151" i="9" s="1"/>
  <c r="O153" i="2"/>
  <c r="K43" i="35" s="1"/>
  <c r="G153" i="9"/>
  <c r="J153" i="9" s="1"/>
  <c r="O153" i="9" s="1"/>
  <c r="O142" i="2"/>
  <c r="K32" i="37" s="1"/>
  <c r="O145" i="2"/>
  <c r="L35" i="36" s="1"/>
  <c r="I179" i="2"/>
  <c r="O43" i="34" s="1"/>
  <c r="I170" i="2"/>
  <c r="O34" i="33" s="1"/>
  <c r="I175" i="2"/>
  <c r="O39" i="36" s="1"/>
  <c r="I168" i="2"/>
  <c r="O32" i="31" s="1"/>
  <c r="O147" i="2"/>
  <c r="K37" i="35" s="1"/>
  <c r="O150" i="2"/>
  <c r="K40" i="1" s="1"/>
  <c r="AX306" i="17"/>
  <c r="O152" i="2"/>
  <c r="K42" i="37" s="1"/>
  <c r="G84" i="9"/>
  <c r="J84" i="9" s="1"/>
  <c r="K84" i="9" s="1"/>
  <c r="G88" i="9"/>
  <c r="J88" i="9" s="1"/>
  <c r="G80" i="9"/>
  <c r="J80" i="9" s="1"/>
  <c r="G82" i="9"/>
  <c r="J82" i="9" s="1"/>
  <c r="L82" i="9" s="1"/>
  <c r="G83" i="9"/>
  <c r="J83" i="9" s="1"/>
  <c r="G90" i="9"/>
  <c r="J90" i="9" s="1"/>
  <c r="N90" i="9" s="1"/>
  <c r="G86" i="9"/>
  <c r="J86" i="9" s="1"/>
  <c r="K86" i="9" s="1"/>
  <c r="G89" i="9"/>
  <c r="J89" i="9" s="1"/>
  <c r="O149" i="2"/>
  <c r="L39" i="37" s="1"/>
  <c r="G156" i="9"/>
  <c r="J156" i="9" s="1"/>
  <c r="G159" i="9"/>
  <c r="J159" i="9" s="1"/>
  <c r="N159" i="9" s="1"/>
  <c r="G152" i="9"/>
  <c r="J152" i="9" s="1"/>
  <c r="G157" i="9"/>
  <c r="J157" i="9" s="1"/>
  <c r="R157" i="9" s="1"/>
  <c r="G158" i="9"/>
  <c r="J158" i="9" s="1"/>
  <c r="P158" i="9" s="1"/>
  <c r="G155" i="9"/>
  <c r="J155" i="9" s="1"/>
  <c r="O155" i="9" s="1"/>
  <c r="G160" i="9"/>
  <c r="J160" i="9" s="1"/>
  <c r="L160" i="9" s="1"/>
  <c r="G161" i="9"/>
  <c r="J161" i="9" s="1"/>
  <c r="G162" i="9"/>
  <c r="J162" i="9" s="1"/>
  <c r="G81" i="9"/>
  <c r="J81" i="9" s="1"/>
  <c r="M81" i="9" s="1"/>
  <c r="G79" i="9"/>
  <c r="J79" i="9" s="1"/>
  <c r="R79" i="9" s="1"/>
  <c r="O148" i="2"/>
  <c r="J133" i="9"/>
  <c r="R133" i="9" s="1"/>
  <c r="G66" i="9"/>
  <c r="J66" i="9" s="1"/>
  <c r="Q66" i="9" s="1"/>
  <c r="G56" i="9"/>
  <c r="J56" i="9" s="1"/>
  <c r="O56" i="9" s="1"/>
  <c r="BC306" i="17"/>
  <c r="I177" i="2"/>
  <c r="O154" i="2"/>
  <c r="I178" i="2"/>
  <c r="O144" i="2"/>
  <c r="O143" i="2"/>
  <c r="J12" i="1" l="1"/>
  <c r="R12" i="1" s="1"/>
  <c r="J15" i="1"/>
  <c r="R15" i="1" s="1"/>
  <c r="AP312" i="17"/>
  <c r="R19" i="1"/>
  <c r="Q19" i="1"/>
  <c r="R20" i="1"/>
  <c r="Q20" i="1"/>
  <c r="R8" i="1"/>
  <c r="Q8" i="1"/>
  <c r="R21" i="1"/>
  <c r="Q21" i="1"/>
  <c r="R16" i="1"/>
  <c r="Q16" i="1"/>
  <c r="R23" i="1"/>
  <c r="Q23" i="1"/>
  <c r="R14" i="1"/>
  <c r="Q14" i="1"/>
  <c r="R22" i="1"/>
  <c r="Q22" i="1"/>
  <c r="R9" i="1"/>
  <c r="Q9" i="1"/>
  <c r="R18" i="1"/>
  <c r="Q18" i="1"/>
  <c r="R11" i="1"/>
  <c r="Q11" i="1"/>
  <c r="R13" i="1"/>
  <c r="Q13" i="1"/>
  <c r="R10" i="1"/>
  <c r="Q10" i="1"/>
  <c r="R17" i="1"/>
  <c r="Q17" i="1"/>
  <c r="AX305" i="17"/>
  <c r="AX318" i="17"/>
  <c r="AX303" i="17"/>
  <c r="BC311" i="17"/>
  <c r="AX307" i="17"/>
  <c r="C278" i="2"/>
  <c r="C279" i="2"/>
  <c r="C280" i="2" s="1"/>
  <c r="C281" i="2" s="1"/>
  <c r="C282" i="2" s="1"/>
  <c r="C283" i="2" s="1"/>
  <c r="C284" i="2" s="1"/>
  <c r="C285" i="2" s="1"/>
  <c r="C286" i="2" s="1"/>
  <c r="C287" i="2" s="1"/>
  <c r="C288" i="2" s="1"/>
  <c r="D279" i="2"/>
  <c r="D280" i="2" s="1"/>
  <c r="D281" i="2" s="1"/>
  <c r="D282" i="2" s="1"/>
  <c r="D283" i="2" s="1"/>
  <c r="D284" i="2" s="1"/>
  <c r="D285" i="2" s="1"/>
  <c r="D286" i="2" s="1"/>
  <c r="D287" i="2" s="1"/>
  <c r="D288" i="2" s="1"/>
  <c r="D278" i="2"/>
  <c r="AS317" i="17"/>
  <c r="BC317" i="17"/>
  <c r="AX317" i="17"/>
  <c r="AS313" i="17"/>
  <c r="O44" i="34"/>
  <c r="C299" i="2"/>
  <c r="F274" i="2"/>
  <c r="D299" i="2" s="1"/>
  <c r="O44" i="35"/>
  <c r="L37" i="9"/>
  <c r="M37" i="9"/>
  <c r="N37" i="9"/>
  <c r="AX310" i="17"/>
  <c r="R37" i="9"/>
  <c r="K37" i="9"/>
  <c r="O37" i="9"/>
  <c r="P37" i="9"/>
  <c r="BC316" i="17"/>
  <c r="AX316" i="17"/>
  <c r="AS316" i="17"/>
  <c r="Q19" i="9"/>
  <c r="K19" i="9"/>
  <c r="R19" i="9"/>
  <c r="M19" i="9"/>
  <c r="AX312" i="17"/>
  <c r="AS308" i="17"/>
  <c r="BC308" i="17"/>
  <c r="AX308" i="17"/>
  <c r="BC309" i="17"/>
  <c r="O33" i="1"/>
  <c r="O32" i="1"/>
  <c r="O33" i="34"/>
  <c r="O33" i="36"/>
  <c r="O29" i="32"/>
  <c r="O29" i="35"/>
  <c r="O29" i="37"/>
  <c r="O29" i="36"/>
  <c r="O29" i="1"/>
  <c r="O29" i="33"/>
  <c r="N19" i="9"/>
  <c r="P19" i="9"/>
  <c r="O19" i="9"/>
  <c r="L19" i="9"/>
  <c r="E34" i="31"/>
  <c r="C53" i="31" s="1"/>
  <c r="E34" i="35"/>
  <c r="E34" i="36"/>
  <c r="C53" i="36" s="1"/>
  <c r="E34" i="32"/>
  <c r="C53" i="32" s="1"/>
  <c r="E34" i="1"/>
  <c r="C53" i="1" s="1"/>
  <c r="E34" i="33"/>
  <c r="E34" i="34"/>
  <c r="C53" i="34" s="1"/>
  <c r="E34" i="37"/>
  <c r="C53" i="37" s="1"/>
  <c r="O29" i="34"/>
  <c r="K30" i="32"/>
  <c r="BC312" i="17"/>
  <c r="AS312" i="17"/>
  <c r="E13" i="37"/>
  <c r="AY289" i="17" s="1"/>
  <c r="E13" i="36"/>
  <c r="E13" i="34"/>
  <c r="AT289" i="17" s="1"/>
  <c r="E13" i="32"/>
  <c r="E13" i="31"/>
  <c r="E13" i="35"/>
  <c r="E13" i="33"/>
  <c r="AO289" i="17" s="1"/>
  <c r="BC314" i="17"/>
  <c r="R138" i="9"/>
  <c r="Q138" i="9"/>
  <c r="M138" i="9"/>
  <c r="N138" i="9"/>
  <c r="L138" i="9"/>
  <c r="P138" i="9"/>
  <c r="K35" i="31"/>
  <c r="O31" i="34"/>
  <c r="O32" i="36"/>
  <c r="O31" i="37"/>
  <c r="O32" i="34"/>
  <c r="P173" i="9"/>
  <c r="L30" i="34"/>
  <c r="L30" i="36"/>
  <c r="K138" i="9"/>
  <c r="P70" i="9"/>
  <c r="K70" i="9"/>
  <c r="R123" i="9"/>
  <c r="Q126" i="9"/>
  <c r="L30" i="1"/>
  <c r="O37" i="37"/>
  <c r="L30" i="32"/>
  <c r="N87" i="9"/>
  <c r="Q70" i="9"/>
  <c r="L70" i="9"/>
  <c r="M70" i="9"/>
  <c r="N187" i="9"/>
  <c r="N189" i="9"/>
  <c r="N70" i="9"/>
  <c r="Q119" i="9"/>
  <c r="O189" i="9"/>
  <c r="O70" i="9"/>
  <c r="P130" i="9"/>
  <c r="K187" i="9"/>
  <c r="P189" i="9"/>
  <c r="Q187" i="9"/>
  <c r="R189" i="9"/>
  <c r="M119" i="9"/>
  <c r="R130" i="9"/>
  <c r="M189" i="9"/>
  <c r="K189" i="9"/>
  <c r="L187" i="9"/>
  <c r="Q189" i="9"/>
  <c r="BC313" i="17"/>
  <c r="AX313" i="17"/>
  <c r="BC310" i="17"/>
  <c r="AX309" i="17"/>
  <c r="L183" i="9"/>
  <c r="R183" i="9"/>
  <c r="Q183" i="9"/>
  <c r="R115" i="9"/>
  <c r="P115" i="9"/>
  <c r="L115" i="9"/>
  <c r="K115" i="9"/>
  <c r="Q115" i="9"/>
  <c r="M115" i="9"/>
  <c r="M77" i="9"/>
  <c r="P77" i="9"/>
  <c r="P123" i="9"/>
  <c r="K123" i="9"/>
  <c r="Q47" i="9"/>
  <c r="R45" i="9"/>
  <c r="Q32" i="9"/>
  <c r="L32" i="9"/>
  <c r="K87" i="9"/>
  <c r="Q167" i="9"/>
  <c r="L130" i="9"/>
  <c r="R87" i="9"/>
  <c r="N115" i="9"/>
  <c r="L87" i="9"/>
  <c r="K130" i="9"/>
  <c r="M130" i="9"/>
  <c r="O130" i="9"/>
  <c r="K168" i="9"/>
  <c r="O87" i="9"/>
  <c r="M168" i="9"/>
  <c r="N130" i="9"/>
  <c r="L168" i="9"/>
  <c r="Q87" i="9"/>
  <c r="O115" i="9"/>
  <c r="M87" i="9"/>
  <c r="L43" i="36"/>
  <c r="L42" i="1"/>
  <c r="K77" i="9"/>
  <c r="O77" i="9"/>
  <c r="L36" i="32"/>
  <c r="L36" i="37"/>
  <c r="L42" i="35"/>
  <c r="O33" i="31"/>
  <c r="O36" i="32"/>
  <c r="AS309" i="17"/>
  <c r="N119" i="9"/>
  <c r="K119" i="9"/>
  <c r="O35" i="35"/>
  <c r="R77" i="9"/>
  <c r="R187" i="9"/>
  <c r="K41" i="36"/>
  <c r="K32" i="1"/>
  <c r="N77" i="9"/>
  <c r="O33" i="32"/>
  <c r="K32" i="31"/>
  <c r="K36" i="33"/>
  <c r="K42" i="32"/>
  <c r="O33" i="33"/>
  <c r="L36" i="35"/>
  <c r="L36" i="34"/>
  <c r="O38" i="32"/>
  <c r="K167" i="9"/>
  <c r="L42" i="36"/>
  <c r="Q77" i="9"/>
  <c r="O33" i="35"/>
  <c r="P187" i="9"/>
  <c r="L31" i="35"/>
  <c r="L41" i="36"/>
  <c r="O119" i="9"/>
  <c r="K47" i="9"/>
  <c r="K36" i="32"/>
  <c r="K36" i="35"/>
  <c r="O38" i="36"/>
  <c r="L42" i="34"/>
  <c r="O187" i="9"/>
  <c r="AS315" i="17"/>
  <c r="AS310" i="17"/>
  <c r="P48" i="9"/>
  <c r="M173" i="9"/>
  <c r="P183" i="9"/>
  <c r="M123" i="9"/>
  <c r="O168" i="9"/>
  <c r="M47" i="9"/>
  <c r="O173" i="9"/>
  <c r="L173" i="9"/>
  <c r="R173" i="9"/>
  <c r="M78" i="9"/>
  <c r="O123" i="9"/>
  <c r="Q168" i="9"/>
  <c r="L47" i="9"/>
  <c r="R78" i="9"/>
  <c r="K135" i="9"/>
  <c r="P168" i="9"/>
  <c r="N123" i="9"/>
  <c r="N47" i="9"/>
  <c r="N173" i="9"/>
  <c r="R168" i="9"/>
  <c r="Q135" i="9"/>
  <c r="R135" i="9"/>
  <c r="L135" i="9"/>
  <c r="N126" i="9"/>
  <c r="Q173" i="9"/>
  <c r="Q123" i="9"/>
  <c r="O32" i="9"/>
  <c r="O47" i="9"/>
  <c r="R47" i="9"/>
  <c r="O126" i="9"/>
  <c r="L77" i="9"/>
  <c r="M183" i="9"/>
  <c r="K32" i="9"/>
  <c r="R126" i="9"/>
  <c r="N183" i="9"/>
  <c r="R94" i="9"/>
  <c r="L167" i="9"/>
  <c r="N52" i="9"/>
  <c r="M126" i="9"/>
  <c r="K126" i="9"/>
  <c r="K183" i="9"/>
  <c r="N135" i="9"/>
  <c r="O183" i="9"/>
  <c r="O135" i="9"/>
  <c r="Q48" i="9"/>
  <c r="L126" i="9"/>
  <c r="M135" i="9"/>
  <c r="K48" i="9"/>
  <c r="AS305" i="17"/>
  <c r="L52" i="9"/>
  <c r="N48" i="9"/>
  <c r="R167" i="9"/>
  <c r="N167" i="9"/>
  <c r="M48" i="9"/>
  <c r="M179" i="9"/>
  <c r="R119" i="9"/>
  <c r="L119" i="9"/>
  <c r="O174" i="9"/>
  <c r="O48" i="9"/>
  <c r="K195" i="9"/>
  <c r="O167" i="9"/>
  <c r="O52" i="9"/>
  <c r="R179" i="9"/>
  <c r="R48" i="9"/>
  <c r="P167" i="9"/>
  <c r="Q45" i="9"/>
  <c r="R32" i="9"/>
  <c r="P32" i="9"/>
  <c r="K18" i="9"/>
  <c r="Q170" i="9"/>
  <c r="P23" i="9"/>
  <c r="R56" i="9"/>
  <c r="N32" i="9"/>
  <c r="M32" i="9"/>
  <c r="L78" i="9"/>
  <c r="BC305" i="17"/>
  <c r="K179" i="9"/>
  <c r="Q52" i="9"/>
  <c r="P85" i="9"/>
  <c r="K170" i="9"/>
  <c r="M52" i="9"/>
  <c r="M170" i="9"/>
  <c r="R101" i="9"/>
  <c r="P52" i="9"/>
  <c r="O170" i="9"/>
  <c r="K97" i="9"/>
  <c r="K33" i="9"/>
  <c r="K52" i="9"/>
  <c r="O106" i="9"/>
  <c r="L101" i="9"/>
  <c r="N33" i="9"/>
  <c r="R85" i="9"/>
  <c r="P57" i="9"/>
  <c r="N142" i="9"/>
  <c r="Q179" i="9"/>
  <c r="P170" i="9"/>
  <c r="M139" i="9"/>
  <c r="R108" i="9"/>
  <c r="M60" i="9"/>
  <c r="Q108" i="9"/>
  <c r="N74" i="9"/>
  <c r="M85" i="9"/>
  <c r="K85" i="9"/>
  <c r="K136" i="9"/>
  <c r="Q85" i="9"/>
  <c r="N85" i="9"/>
  <c r="L85" i="9"/>
  <c r="M36" i="9"/>
  <c r="K198" i="9"/>
  <c r="M108" i="9"/>
  <c r="K45" i="9"/>
  <c r="R53" i="9"/>
  <c r="N193" i="9"/>
  <c r="P36" i="9"/>
  <c r="L45" i="9"/>
  <c r="N53" i="9"/>
  <c r="M137" i="9"/>
  <c r="L198" i="9"/>
  <c r="O137" i="9"/>
  <c r="P137" i="9"/>
  <c r="P45" i="9"/>
  <c r="P53" i="9"/>
  <c r="M45" i="9"/>
  <c r="Q75" i="9"/>
  <c r="N45" i="9"/>
  <c r="O139" i="9"/>
  <c r="O36" i="9"/>
  <c r="M114" i="9"/>
  <c r="P13" i="9"/>
  <c r="Q13" i="9"/>
  <c r="M18" i="9"/>
  <c r="K13" i="9"/>
  <c r="L137" i="9"/>
  <c r="Q53" i="9"/>
  <c r="N49" i="9"/>
  <c r="R49" i="9"/>
  <c r="O101" i="9"/>
  <c r="O54" i="9"/>
  <c r="N137" i="9"/>
  <c r="K137" i="9"/>
  <c r="N106" i="9"/>
  <c r="O193" i="9"/>
  <c r="K101" i="9"/>
  <c r="M33" i="9"/>
  <c r="M54" i="9"/>
  <c r="Q74" i="9"/>
  <c r="P114" i="9"/>
  <c r="R76" i="9"/>
  <c r="R57" i="9"/>
  <c r="P193" i="9"/>
  <c r="K54" i="9"/>
  <c r="K74" i="9"/>
  <c r="L76" i="9"/>
  <c r="K53" i="9"/>
  <c r="O53" i="9"/>
  <c r="R54" i="9"/>
  <c r="L181" i="9"/>
  <c r="Q175" i="9"/>
  <c r="Q137" i="9"/>
  <c r="R181" i="9"/>
  <c r="L114" i="9"/>
  <c r="P101" i="9"/>
  <c r="N38" i="9"/>
  <c r="N54" i="9"/>
  <c r="O76" i="9"/>
  <c r="Q101" i="9"/>
  <c r="Q145" i="9"/>
  <c r="L53" i="9"/>
  <c r="P54" i="9"/>
  <c r="Q54" i="9"/>
  <c r="N43" i="9"/>
  <c r="P43" i="9"/>
  <c r="M43" i="9"/>
  <c r="K43" i="9"/>
  <c r="O43" i="9"/>
  <c r="Q43" i="9"/>
  <c r="L43" i="9"/>
  <c r="R43" i="9"/>
  <c r="R174" i="9"/>
  <c r="P78" i="9"/>
  <c r="Q195" i="9"/>
  <c r="R13" i="9"/>
  <c r="K49" i="9"/>
  <c r="M74" i="9"/>
  <c r="O46" i="9"/>
  <c r="K21" i="9"/>
  <c r="L164" i="9"/>
  <c r="L13" i="9"/>
  <c r="Q46" i="9"/>
  <c r="O94" i="9"/>
  <c r="Q174" i="9"/>
  <c r="Q166" i="9"/>
  <c r="P166" i="9"/>
  <c r="K78" i="9"/>
  <c r="M49" i="9"/>
  <c r="L75" i="9"/>
  <c r="O78" i="9"/>
  <c r="M118" i="9"/>
  <c r="L46" i="9"/>
  <c r="K164" i="9"/>
  <c r="R74" i="9"/>
  <c r="M94" i="9"/>
  <c r="O34" i="9"/>
  <c r="M175" i="9"/>
  <c r="P7" i="9"/>
  <c r="P96" i="9"/>
  <c r="Q34" i="9"/>
  <c r="O7" i="9"/>
  <c r="L49" i="9"/>
  <c r="Q49" i="9"/>
  <c r="O23" i="9"/>
  <c r="L118" i="9"/>
  <c r="O21" i="9"/>
  <c r="N34" i="9"/>
  <c r="Q22" i="9"/>
  <c r="Q78" i="9"/>
  <c r="L74" i="9"/>
  <c r="R99" i="9"/>
  <c r="M96" i="9"/>
  <c r="M101" i="9"/>
  <c r="N28" i="9"/>
  <c r="M28" i="9"/>
  <c r="K35" i="9"/>
  <c r="O35" i="9"/>
  <c r="L100" i="9"/>
  <c r="O100" i="9"/>
  <c r="R100" i="9"/>
  <c r="R166" i="9"/>
  <c r="M55" i="9"/>
  <c r="O166" i="9"/>
  <c r="L32" i="1"/>
  <c r="L32" i="31"/>
  <c r="N174" i="9"/>
  <c r="O195" i="9"/>
  <c r="L55" i="9"/>
  <c r="O127" i="9"/>
  <c r="Q164" i="9"/>
  <c r="R75" i="9"/>
  <c r="M166" i="9"/>
  <c r="L35" i="33"/>
  <c r="O38" i="1"/>
  <c r="K75" i="9"/>
  <c r="O49" i="9"/>
  <c r="O37" i="33"/>
  <c r="K15" i="9"/>
  <c r="R139" i="9"/>
  <c r="R118" i="9"/>
  <c r="O40" i="1"/>
  <c r="R30" i="9"/>
  <c r="L21" i="9"/>
  <c r="N30" i="9"/>
  <c r="P33" i="9"/>
  <c r="N36" i="9"/>
  <c r="L179" i="9"/>
  <c r="O44" i="33"/>
  <c r="R55" i="9"/>
  <c r="L108" i="9"/>
  <c r="P164" i="9"/>
  <c r="R92" i="9"/>
  <c r="N170" i="9"/>
  <c r="O179" i="9"/>
  <c r="N55" i="9"/>
  <c r="K32" i="32"/>
  <c r="M75" i="9"/>
  <c r="N175" i="9"/>
  <c r="M174" i="9"/>
  <c r="R21" i="9"/>
  <c r="Q41" i="9"/>
  <c r="R164" i="9"/>
  <c r="M164" i="9"/>
  <c r="O38" i="35"/>
  <c r="O175" i="9"/>
  <c r="N139" i="9"/>
  <c r="O33" i="9"/>
  <c r="L32" i="34"/>
  <c r="O38" i="33"/>
  <c r="P49" i="9"/>
  <c r="O37" i="32"/>
  <c r="N75" i="9"/>
  <c r="K139" i="9"/>
  <c r="Q139" i="9"/>
  <c r="K118" i="9"/>
  <c r="O40" i="34"/>
  <c r="M21" i="9"/>
  <c r="R33" i="9"/>
  <c r="R36" i="9"/>
  <c r="N179" i="9"/>
  <c r="O44" i="37"/>
  <c r="N108" i="9"/>
  <c r="O164" i="9"/>
  <c r="P195" i="9"/>
  <c r="O15" i="9"/>
  <c r="O37" i="36"/>
  <c r="K166" i="9"/>
  <c r="O55" i="9"/>
  <c r="O37" i="1"/>
  <c r="L166" i="9"/>
  <c r="K108" i="9"/>
  <c r="L35" i="34"/>
  <c r="L32" i="35"/>
  <c r="O38" i="31"/>
  <c r="P132" i="9"/>
  <c r="O37" i="34"/>
  <c r="O75" i="9"/>
  <c r="R195" i="9"/>
  <c r="P139" i="9"/>
  <c r="O118" i="9"/>
  <c r="O40" i="32"/>
  <c r="P21" i="9"/>
  <c r="Q33" i="9"/>
  <c r="L36" i="9"/>
  <c r="O44" i="1"/>
  <c r="O108" i="9"/>
  <c r="K30" i="9"/>
  <c r="M195" i="9"/>
  <c r="P55" i="9"/>
  <c r="O44" i="36"/>
  <c r="P34" i="9"/>
  <c r="O38" i="37"/>
  <c r="O37" i="31"/>
  <c r="Q55" i="9"/>
  <c r="L32" i="33"/>
  <c r="O74" i="9"/>
  <c r="L174" i="9"/>
  <c r="K174" i="9"/>
  <c r="L195" i="9"/>
  <c r="O40" i="35"/>
  <c r="Q21" i="9"/>
  <c r="K36" i="9"/>
  <c r="L34" i="9"/>
  <c r="L136" i="9"/>
  <c r="L30" i="9"/>
  <c r="K34" i="9"/>
  <c r="L170" i="9"/>
  <c r="L120" i="9"/>
  <c r="M120" i="9"/>
  <c r="K120" i="9"/>
  <c r="L125" i="9"/>
  <c r="O125" i="9"/>
  <c r="P16" i="9"/>
  <c r="R16" i="9"/>
  <c r="O16" i="9"/>
  <c r="Q27" i="9"/>
  <c r="K27" i="9"/>
  <c r="O38" i="9"/>
  <c r="M145" i="9"/>
  <c r="K106" i="9"/>
  <c r="R106" i="9"/>
  <c r="K42" i="36"/>
  <c r="K42" i="31"/>
  <c r="L106" i="9"/>
  <c r="N181" i="9"/>
  <c r="L145" i="9"/>
  <c r="P38" i="9"/>
  <c r="M99" i="9"/>
  <c r="L36" i="1"/>
  <c r="L36" i="36"/>
  <c r="K42" i="33"/>
  <c r="R176" i="9"/>
  <c r="M198" i="9"/>
  <c r="L23" i="9"/>
  <c r="K46" i="9"/>
  <c r="O145" i="9"/>
  <c r="R178" i="9"/>
  <c r="N114" i="9"/>
  <c r="O30" i="32"/>
  <c r="R38" i="9"/>
  <c r="K92" i="9"/>
  <c r="P18" i="9"/>
  <c r="P76" i="9"/>
  <c r="L99" i="9"/>
  <c r="Q106" i="9"/>
  <c r="P181" i="9"/>
  <c r="L111" i="9"/>
  <c r="O34" i="37"/>
  <c r="K100" i="9"/>
  <c r="L176" i="9"/>
  <c r="K36" i="1"/>
  <c r="L36" i="31"/>
  <c r="K36" i="37"/>
  <c r="P106" i="9"/>
  <c r="L42" i="37"/>
  <c r="R198" i="9"/>
  <c r="M46" i="9"/>
  <c r="P145" i="9"/>
  <c r="M76" i="9"/>
  <c r="L178" i="9"/>
  <c r="R114" i="9"/>
  <c r="O36" i="37"/>
  <c r="L18" i="9"/>
  <c r="K99" i="9"/>
  <c r="M38" i="9"/>
  <c r="R145" i="9"/>
  <c r="O30" i="33"/>
  <c r="O30" i="1"/>
  <c r="O30" i="35"/>
  <c r="O30" i="37"/>
  <c r="O36" i="31"/>
  <c r="AS314" i="17"/>
  <c r="O18" i="9"/>
  <c r="K36" i="31"/>
  <c r="L36" i="33"/>
  <c r="O92" i="9"/>
  <c r="K42" i="1"/>
  <c r="M181" i="9"/>
  <c r="K43" i="32"/>
  <c r="O114" i="9"/>
  <c r="Q198" i="9"/>
  <c r="R46" i="9"/>
  <c r="K73" i="9"/>
  <c r="N145" i="9"/>
  <c r="N76" i="9"/>
  <c r="K114" i="9"/>
  <c r="O31" i="35"/>
  <c r="O36" i="33"/>
  <c r="K37" i="33"/>
  <c r="K43" i="1"/>
  <c r="O30" i="36"/>
  <c r="N18" i="9"/>
  <c r="N100" i="9"/>
  <c r="O31" i="31"/>
  <c r="O31" i="36"/>
  <c r="N99" i="9"/>
  <c r="O36" i="1"/>
  <c r="P99" i="9"/>
  <c r="P100" i="9"/>
  <c r="O181" i="9"/>
  <c r="Q38" i="9"/>
  <c r="Q99" i="9"/>
  <c r="K42" i="35"/>
  <c r="M26" i="9"/>
  <c r="O36" i="34"/>
  <c r="M100" i="9"/>
  <c r="K76" i="9"/>
  <c r="K36" i="34"/>
  <c r="K36" i="36"/>
  <c r="K42" i="34"/>
  <c r="Q181" i="9"/>
  <c r="L43" i="37"/>
  <c r="O198" i="9"/>
  <c r="N46" i="9"/>
  <c r="O31" i="33"/>
  <c r="O36" i="35"/>
  <c r="O30" i="34"/>
  <c r="K38" i="9"/>
  <c r="R18" i="9"/>
  <c r="Q100" i="9"/>
  <c r="L72" i="9"/>
  <c r="O31" i="32"/>
  <c r="N92" i="9"/>
  <c r="R9" i="9"/>
  <c r="Q9" i="9"/>
  <c r="P8" i="9"/>
  <c r="N8" i="9"/>
  <c r="O8" i="9"/>
  <c r="M59" i="9"/>
  <c r="L59" i="9"/>
  <c r="R59" i="9"/>
  <c r="Q12" i="9"/>
  <c r="K12" i="9"/>
  <c r="P12" i="9"/>
  <c r="N116" i="9"/>
  <c r="M116" i="9"/>
  <c r="L116" i="9"/>
  <c r="K116" i="9"/>
  <c r="O116" i="9"/>
  <c r="Q7" i="9"/>
  <c r="R143" i="9"/>
  <c r="P169" i="9"/>
  <c r="P175" i="9"/>
  <c r="P176" i="9"/>
  <c r="M23" i="9"/>
  <c r="Q118" i="9"/>
  <c r="O26" i="9"/>
  <c r="O30" i="9"/>
  <c r="N7" i="9"/>
  <c r="K182" i="9"/>
  <c r="O13" i="9"/>
  <c r="Q176" i="9"/>
  <c r="P143" i="9"/>
  <c r="R125" i="9"/>
  <c r="N182" i="9"/>
  <c r="M142" i="9"/>
  <c r="R175" i="9"/>
  <c r="O143" i="9"/>
  <c r="Q23" i="9"/>
  <c r="Q26" i="9"/>
  <c r="R39" i="9"/>
  <c r="Q125" i="9"/>
  <c r="P92" i="9"/>
  <c r="N23" i="9"/>
  <c r="N26" i="9"/>
  <c r="Q30" i="9"/>
  <c r="M7" i="9"/>
  <c r="K60" i="9"/>
  <c r="M13" i="9"/>
  <c r="P60" i="9"/>
  <c r="O142" i="9"/>
  <c r="K175" i="9"/>
  <c r="K26" i="9"/>
  <c r="L92" i="9"/>
  <c r="R23" i="9"/>
  <c r="R26" i="9"/>
  <c r="L26" i="9"/>
  <c r="K7" i="9"/>
  <c r="R60" i="9"/>
  <c r="N60" i="9"/>
  <c r="K96" i="9"/>
  <c r="M92" i="9"/>
  <c r="N69" i="9"/>
  <c r="N198" i="9"/>
  <c r="P118" i="9"/>
  <c r="P30" i="9"/>
  <c r="Q60" i="9"/>
  <c r="L60" i="9"/>
  <c r="M196" i="9"/>
  <c r="M34" i="9"/>
  <c r="L192" i="9"/>
  <c r="R192" i="9"/>
  <c r="N93" i="9"/>
  <c r="M93" i="9"/>
  <c r="N104" i="9"/>
  <c r="M132" i="9"/>
  <c r="R27" i="9"/>
  <c r="R96" i="9"/>
  <c r="N27" i="9"/>
  <c r="O120" i="9"/>
  <c r="Q97" i="9"/>
  <c r="Q69" i="9"/>
  <c r="M113" i="9"/>
  <c r="L191" i="9"/>
  <c r="M180" i="9"/>
  <c r="L197" i="9"/>
  <c r="P56" i="9"/>
  <c r="K51" i="9"/>
  <c r="P69" i="9"/>
  <c r="O27" i="9"/>
  <c r="L27" i="9"/>
  <c r="K69" i="9"/>
  <c r="Q191" i="9"/>
  <c r="P97" i="9"/>
  <c r="P171" i="9"/>
  <c r="N94" i="9"/>
  <c r="L132" i="9"/>
  <c r="N97" i="9"/>
  <c r="M176" i="9"/>
  <c r="L113" i="9"/>
  <c r="O191" i="9"/>
  <c r="K197" i="9"/>
  <c r="L94" i="9"/>
  <c r="P27" i="9"/>
  <c r="Q15" i="9"/>
  <c r="R132" i="9"/>
  <c r="L15" i="9"/>
  <c r="L96" i="9"/>
  <c r="K141" i="9"/>
  <c r="O159" i="9"/>
  <c r="M27" i="9"/>
  <c r="O97" i="9"/>
  <c r="P15" i="9"/>
  <c r="N113" i="9"/>
  <c r="P73" i="9"/>
  <c r="N191" i="9"/>
  <c r="L39" i="9"/>
  <c r="P94" i="9"/>
  <c r="N171" i="9"/>
  <c r="M171" i="9"/>
  <c r="K191" i="9"/>
  <c r="Q104" i="9"/>
  <c r="N15" i="9"/>
  <c r="Q132" i="9"/>
  <c r="L69" i="9"/>
  <c r="R191" i="9"/>
  <c r="L165" i="9"/>
  <c r="N132" i="9"/>
  <c r="K132" i="9"/>
  <c r="R120" i="9"/>
  <c r="R97" i="9"/>
  <c r="R15" i="9"/>
  <c r="M69" i="9"/>
  <c r="R69" i="9"/>
  <c r="N128" i="9"/>
  <c r="Q29" i="9"/>
  <c r="O113" i="9"/>
  <c r="N73" i="9"/>
  <c r="P191" i="9"/>
  <c r="O11" i="9"/>
  <c r="Q94" i="9"/>
  <c r="K104" i="9"/>
  <c r="L97" i="9"/>
  <c r="L188" i="9"/>
  <c r="Q188" i="9"/>
  <c r="P185" i="9"/>
  <c r="L185" i="9"/>
  <c r="O185" i="9"/>
  <c r="M185" i="9"/>
  <c r="N185" i="9"/>
  <c r="Q185" i="9"/>
  <c r="L147" i="9"/>
  <c r="R147" i="9"/>
  <c r="K147" i="9"/>
  <c r="N147" i="9"/>
  <c r="O147" i="9"/>
  <c r="M147" i="9"/>
  <c r="Q147" i="9"/>
  <c r="P147" i="9"/>
  <c r="L65" i="9"/>
  <c r="K65" i="9"/>
  <c r="R65" i="9"/>
  <c r="P65" i="9"/>
  <c r="Q65" i="9"/>
  <c r="M65" i="9"/>
  <c r="N65" i="9"/>
  <c r="O65" i="9"/>
  <c r="M29" i="9"/>
  <c r="N141" i="9"/>
  <c r="O104" i="9"/>
  <c r="O141" i="9"/>
  <c r="O171" i="9"/>
  <c r="Q153" i="9"/>
  <c r="N190" i="9"/>
  <c r="L62" i="9"/>
  <c r="K196" i="9"/>
  <c r="O57" i="9"/>
  <c r="M57" i="9"/>
  <c r="M16" i="9"/>
  <c r="N169" i="9"/>
  <c r="M82" i="9"/>
  <c r="L11" i="9"/>
  <c r="L133" i="9"/>
  <c r="Q96" i="9"/>
  <c r="K93" i="9"/>
  <c r="R146" i="9"/>
  <c r="M197" i="9"/>
  <c r="Q39" i="9"/>
  <c r="N165" i="9"/>
  <c r="O73" i="9"/>
  <c r="R197" i="9"/>
  <c r="M39" i="9"/>
  <c r="P197" i="9"/>
  <c r="Q62" i="9"/>
  <c r="Q196" i="9"/>
  <c r="O169" i="9"/>
  <c r="O93" i="9"/>
  <c r="R51" i="9"/>
  <c r="Q116" i="9"/>
  <c r="N25" i="9"/>
  <c r="K16" i="9"/>
  <c r="M193" i="9"/>
  <c r="K149" i="9"/>
  <c r="R7" i="9"/>
  <c r="K143" i="9"/>
  <c r="N143" i="9"/>
  <c r="Q143" i="9"/>
  <c r="L143" i="9"/>
  <c r="Q142" i="9"/>
  <c r="R142" i="9"/>
  <c r="L142" i="9"/>
  <c r="K142" i="9"/>
  <c r="R169" i="9"/>
  <c r="L42" i="9"/>
  <c r="M104" i="9"/>
  <c r="Q93" i="9"/>
  <c r="Q128" i="9"/>
  <c r="R116" i="9"/>
  <c r="Q193" i="9"/>
  <c r="Q11" i="9"/>
  <c r="N120" i="9"/>
  <c r="N39" i="9"/>
  <c r="M128" i="9"/>
  <c r="L10" i="9"/>
  <c r="P165" i="9"/>
  <c r="Q73" i="9"/>
  <c r="P90" i="9"/>
  <c r="O197" i="9"/>
  <c r="Q178" i="9"/>
  <c r="K56" i="9"/>
  <c r="P62" i="9"/>
  <c r="L103" i="9"/>
  <c r="M41" i="9"/>
  <c r="L93" i="9"/>
  <c r="Q113" i="9"/>
  <c r="M182" i="9"/>
  <c r="M127" i="9"/>
  <c r="M163" i="9"/>
  <c r="O51" i="9"/>
  <c r="N196" i="9"/>
  <c r="N149" i="9"/>
  <c r="P25" i="9"/>
  <c r="Q16" i="9"/>
  <c r="R193" i="9"/>
  <c r="R149" i="9"/>
  <c r="L141" i="9"/>
  <c r="P141" i="9"/>
  <c r="R160" i="9"/>
  <c r="R12" i="9"/>
  <c r="P116" i="9"/>
  <c r="N16" i="9"/>
  <c r="P93" i="9"/>
  <c r="K169" i="9"/>
  <c r="O178" i="9"/>
  <c r="Q171" i="9"/>
  <c r="L12" i="9"/>
  <c r="K57" i="9"/>
  <c r="L57" i="9"/>
  <c r="K66" i="9"/>
  <c r="O96" i="9"/>
  <c r="N12" i="9"/>
  <c r="O39" i="9"/>
  <c r="K128" i="9"/>
  <c r="M141" i="9"/>
  <c r="R73" i="9"/>
  <c r="K178" i="9"/>
  <c r="L56" i="9"/>
  <c r="N62" i="9"/>
  <c r="O41" i="9"/>
  <c r="K39" i="9"/>
  <c r="P182" i="9"/>
  <c r="P104" i="9"/>
  <c r="R127" i="9"/>
  <c r="Q163" i="9"/>
  <c r="O163" i="9"/>
  <c r="P149" i="9"/>
  <c r="R25" i="9"/>
  <c r="Q169" i="9"/>
  <c r="L149" i="9"/>
  <c r="R171" i="9"/>
  <c r="K160" i="9"/>
  <c r="N178" i="9"/>
  <c r="L104" i="9"/>
  <c r="R93" i="9"/>
  <c r="M146" i="9"/>
  <c r="M12" i="9"/>
  <c r="N197" i="9"/>
  <c r="L169" i="9"/>
  <c r="N57" i="9"/>
  <c r="L193" i="9"/>
  <c r="O12" i="9"/>
  <c r="O128" i="9"/>
  <c r="Q141" i="9"/>
  <c r="M73" i="9"/>
  <c r="M178" i="9"/>
  <c r="N56" i="9"/>
  <c r="O107" i="9"/>
  <c r="L171" i="9"/>
  <c r="Q120" i="9"/>
  <c r="K25" i="9"/>
  <c r="P120" i="9"/>
  <c r="AX315" i="17"/>
  <c r="AX314" i="17"/>
  <c r="O35" i="36"/>
  <c r="P131" i="9"/>
  <c r="L184" i="9"/>
  <c r="N79" i="9"/>
  <c r="M110" i="9"/>
  <c r="P72" i="9"/>
  <c r="M184" i="9"/>
  <c r="P177" i="9"/>
  <c r="L43" i="32"/>
  <c r="K43" i="37"/>
  <c r="N102" i="9"/>
  <c r="R58" i="9"/>
  <c r="L180" i="9"/>
  <c r="K31" i="35"/>
  <c r="L41" i="32"/>
  <c r="M125" i="9"/>
  <c r="L30" i="37"/>
  <c r="K31" i="36"/>
  <c r="K30" i="33"/>
  <c r="K30" i="1"/>
  <c r="L31" i="37"/>
  <c r="L31" i="34"/>
  <c r="Q180" i="9"/>
  <c r="L41" i="37"/>
  <c r="P41" i="9"/>
  <c r="N41" i="9"/>
  <c r="L39" i="31"/>
  <c r="O160" i="9"/>
  <c r="K30" i="36"/>
  <c r="K72" i="9"/>
  <c r="K43" i="31"/>
  <c r="K43" i="33"/>
  <c r="K43" i="34"/>
  <c r="O102" i="9"/>
  <c r="L128" i="9"/>
  <c r="R29" i="9"/>
  <c r="O165" i="9"/>
  <c r="K180" i="9"/>
  <c r="L159" i="9"/>
  <c r="M56" i="9"/>
  <c r="O62" i="9"/>
  <c r="K31" i="31"/>
  <c r="K41" i="33"/>
  <c r="L41" i="35"/>
  <c r="R41" i="9"/>
  <c r="P107" i="9"/>
  <c r="N125" i="9"/>
  <c r="K30" i="31"/>
  <c r="N72" i="9"/>
  <c r="L16" i="9"/>
  <c r="K41" i="1"/>
  <c r="K41" i="35"/>
  <c r="Q149" i="9"/>
  <c r="P184" i="9"/>
  <c r="R184" i="9"/>
  <c r="O184" i="9"/>
  <c r="Q184" i="9"/>
  <c r="O35" i="32"/>
  <c r="M72" i="9"/>
  <c r="R72" i="9"/>
  <c r="L39" i="32"/>
  <c r="L43" i="33"/>
  <c r="N194" i="9"/>
  <c r="N111" i="9"/>
  <c r="Q72" i="9"/>
  <c r="R17" i="9"/>
  <c r="N17" i="9"/>
  <c r="K39" i="1"/>
  <c r="O17" i="9"/>
  <c r="L43" i="34"/>
  <c r="O29" i="9"/>
  <c r="L102" i="9"/>
  <c r="L194" i="9"/>
  <c r="L29" i="9"/>
  <c r="Q111" i="9"/>
  <c r="R111" i="9"/>
  <c r="O180" i="9"/>
  <c r="O34" i="31"/>
  <c r="R86" i="9"/>
  <c r="R62" i="9"/>
  <c r="L41" i="1"/>
  <c r="L41" i="34"/>
  <c r="O35" i="37"/>
  <c r="P163" i="9"/>
  <c r="R163" i="9"/>
  <c r="L31" i="36"/>
  <c r="M149" i="9"/>
  <c r="L41" i="9"/>
  <c r="L25" i="9"/>
  <c r="Q25" i="9"/>
  <c r="M25" i="9"/>
  <c r="P196" i="9"/>
  <c r="R196" i="9"/>
  <c r="L196" i="9"/>
  <c r="L31" i="1"/>
  <c r="N71" i="9"/>
  <c r="R71" i="9"/>
  <c r="K71" i="9"/>
  <c r="O71" i="9"/>
  <c r="M71" i="9"/>
  <c r="P71" i="9"/>
  <c r="Q71" i="9"/>
  <c r="P125" i="9"/>
  <c r="O35" i="1"/>
  <c r="L31" i="33"/>
  <c r="L30" i="31"/>
  <c r="M17" i="9"/>
  <c r="L30" i="35"/>
  <c r="O43" i="32"/>
  <c r="K39" i="36"/>
  <c r="P17" i="9"/>
  <c r="L43" i="31"/>
  <c r="P102" i="9"/>
  <c r="N29" i="9"/>
  <c r="O111" i="9"/>
  <c r="P180" i="9"/>
  <c r="O34" i="36"/>
  <c r="K62" i="9"/>
  <c r="L37" i="32"/>
  <c r="L41" i="31"/>
  <c r="K41" i="31"/>
  <c r="O35" i="34"/>
  <c r="K9" i="9"/>
  <c r="K125" i="9"/>
  <c r="L163" i="9"/>
  <c r="BC315" i="17"/>
  <c r="Q165" i="9"/>
  <c r="O182" i="9"/>
  <c r="Q182" i="9"/>
  <c r="R182" i="9"/>
  <c r="K184" i="9"/>
  <c r="P111" i="9"/>
  <c r="K31" i="37"/>
  <c r="K30" i="34"/>
  <c r="Q90" i="9"/>
  <c r="K41" i="34"/>
  <c r="L30" i="33"/>
  <c r="K31" i="34"/>
  <c r="K30" i="35"/>
  <c r="K30" i="37"/>
  <c r="L17" i="9"/>
  <c r="O43" i="37"/>
  <c r="Q17" i="9"/>
  <c r="L43" i="35"/>
  <c r="P117" i="9"/>
  <c r="K29" i="9"/>
  <c r="M165" i="9"/>
  <c r="K111" i="9"/>
  <c r="N180" i="9"/>
  <c r="O34" i="34"/>
  <c r="N35" i="9"/>
  <c r="K150" i="9"/>
  <c r="K41" i="32"/>
  <c r="L41" i="33"/>
  <c r="O35" i="33"/>
  <c r="N163" i="9"/>
  <c r="R165" i="9"/>
  <c r="K144" i="9"/>
  <c r="Q144" i="9"/>
  <c r="M144" i="9"/>
  <c r="P144" i="9"/>
  <c r="O144" i="9"/>
  <c r="N144" i="9"/>
  <c r="O50" i="9"/>
  <c r="Q50" i="9"/>
  <c r="N50" i="9"/>
  <c r="M50" i="9"/>
  <c r="L29" i="32"/>
  <c r="N9" i="9"/>
  <c r="K22" i="9"/>
  <c r="O146" i="9"/>
  <c r="K40" i="32"/>
  <c r="O117" i="9"/>
  <c r="M10" i="9"/>
  <c r="R35" i="9"/>
  <c r="M9" i="9"/>
  <c r="R24" i="9"/>
  <c r="K105" i="9"/>
  <c r="O105" i="9"/>
  <c r="N105" i="9"/>
  <c r="M105" i="9"/>
  <c r="L35" i="37"/>
  <c r="K32" i="33"/>
  <c r="K11" i="9"/>
  <c r="R50" i="9"/>
  <c r="N59" i="9"/>
  <c r="M22" i="9"/>
  <c r="K50" i="9"/>
  <c r="L146" i="9"/>
  <c r="L98" i="9"/>
  <c r="K122" i="9"/>
  <c r="K176" i="9"/>
  <c r="K40" i="36"/>
  <c r="Q117" i="9"/>
  <c r="R10" i="9"/>
  <c r="O40" i="31"/>
  <c r="K8" i="9"/>
  <c r="O34" i="32"/>
  <c r="M35" i="9"/>
  <c r="O32" i="32"/>
  <c r="M129" i="9"/>
  <c r="N176" i="9"/>
  <c r="L9" i="9"/>
  <c r="N51" i="9"/>
  <c r="R136" i="9"/>
  <c r="R105" i="9"/>
  <c r="O122" i="9"/>
  <c r="K40" i="9"/>
  <c r="P59" i="9"/>
  <c r="Q59" i="9"/>
  <c r="K29" i="35"/>
  <c r="K35" i="37"/>
  <c r="L32" i="37"/>
  <c r="K32" i="34"/>
  <c r="L144" i="9"/>
  <c r="R186" i="9"/>
  <c r="O59" i="9"/>
  <c r="O28" i="9"/>
  <c r="P50" i="9"/>
  <c r="Q146" i="9"/>
  <c r="L84" i="9"/>
  <c r="K40" i="33"/>
  <c r="L40" i="34"/>
  <c r="Q81" i="9"/>
  <c r="M51" i="9"/>
  <c r="P10" i="9"/>
  <c r="O40" i="33"/>
  <c r="Q8" i="9"/>
  <c r="O34" i="35"/>
  <c r="K98" i="9"/>
  <c r="P35" i="9"/>
  <c r="O32" i="37"/>
  <c r="N136" i="9"/>
  <c r="K28" i="9"/>
  <c r="N107" i="9"/>
  <c r="K107" i="9"/>
  <c r="K59" i="9"/>
  <c r="K31" i="32"/>
  <c r="K31" i="33"/>
  <c r="L31" i="32"/>
  <c r="L31" i="31"/>
  <c r="K31" i="1"/>
  <c r="Q10" i="9"/>
  <c r="Q24" i="9"/>
  <c r="P24" i="9"/>
  <c r="M24" i="9"/>
  <c r="L24" i="9"/>
  <c r="O24" i="9"/>
  <c r="K24" i="9"/>
  <c r="N98" i="9"/>
  <c r="K32" i="35"/>
  <c r="R144" i="9"/>
  <c r="R28" i="9"/>
  <c r="Q28" i="9"/>
  <c r="O66" i="9"/>
  <c r="N146" i="9"/>
  <c r="P122" i="9"/>
  <c r="L40" i="37"/>
  <c r="K81" i="9"/>
  <c r="P51" i="9"/>
  <c r="O40" i="36"/>
  <c r="M8" i="9"/>
  <c r="O34" i="1"/>
  <c r="L35" i="9"/>
  <c r="R8" i="9"/>
  <c r="L40" i="1"/>
  <c r="Q136" i="9"/>
  <c r="M107" i="9"/>
  <c r="P9" i="9"/>
  <c r="R102" i="9"/>
  <c r="Q102" i="9"/>
  <c r="K102" i="9"/>
  <c r="K35" i="35"/>
  <c r="O10" i="9"/>
  <c r="Q35" i="9"/>
  <c r="P28" i="9"/>
  <c r="L29" i="31"/>
  <c r="L32" i="32"/>
  <c r="K32" i="36"/>
  <c r="K29" i="37"/>
  <c r="K35" i="32"/>
  <c r="K35" i="1"/>
  <c r="L32" i="36"/>
  <c r="L28" i="9"/>
  <c r="P121" i="9"/>
  <c r="K29" i="32"/>
  <c r="K146" i="9"/>
  <c r="L40" i="33"/>
  <c r="N117" i="9"/>
  <c r="K10" i="9"/>
  <c r="K42" i="9"/>
  <c r="N42" i="9"/>
  <c r="L8" i="9"/>
  <c r="O9" i="9"/>
  <c r="Q51" i="9"/>
  <c r="Q105" i="9"/>
  <c r="P105" i="9"/>
  <c r="M154" i="9"/>
  <c r="Q154" i="9"/>
  <c r="K154" i="9"/>
  <c r="N154" i="9"/>
  <c r="R154" i="9"/>
  <c r="P154" i="9"/>
  <c r="L154" i="9"/>
  <c r="O154" i="9"/>
  <c r="N14" i="9"/>
  <c r="P14" i="9"/>
  <c r="O39" i="32"/>
  <c r="O39" i="37"/>
  <c r="O39" i="34"/>
  <c r="O95" i="9"/>
  <c r="N95" i="9"/>
  <c r="K95" i="9"/>
  <c r="P95" i="9"/>
  <c r="L95" i="9"/>
  <c r="P61" i="9"/>
  <c r="M61" i="9"/>
  <c r="K38" i="34"/>
  <c r="L61" i="9"/>
  <c r="O43" i="35"/>
  <c r="M153" i="9"/>
  <c r="N153" i="9"/>
  <c r="Q177" i="9"/>
  <c r="K58" i="9"/>
  <c r="P81" i="9"/>
  <c r="P40" i="9"/>
  <c r="K37" i="34"/>
  <c r="L129" i="9"/>
  <c r="P129" i="9"/>
  <c r="K129" i="9"/>
  <c r="L29" i="1"/>
  <c r="K29" i="31"/>
  <c r="K29" i="33"/>
  <c r="L35" i="32"/>
  <c r="K35" i="33"/>
  <c r="K35" i="34"/>
  <c r="O61" i="9"/>
  <c r="K153" i="9"/>
  <c r="L38" i="37"/>
  <c r="O43" i="33"/>
  <c r="L39" i="1"/>
  <c r="K177" i="9"/>
  <c r="L40" i="36"/>
  <c r="K40" i="37"/>
  <c r="L117" i="9"/>
  <c r="N81" i="9"/>
  <c r="K40" i="31"/>
  <c r="P98" i="9"/>
  <c r="M40" i="9"/>
  <c r="L37" i="1"/>
  <c r="O32" i="35"/>
  <c r="O32" i="33"/>
  <c r="L107" i="9"/>
  <c r="R107" i="9"/>
  <c r="P136" i="9"/>
  <c r="M136" i="9"/>
  <c r="L44" i="9"/>
  <c r="N44" i="9"/>
  <c r="K44" i="9"/>
  <c r="M44" i="9"/>
  <c r="R44" i="9"/>
  <c r="P44" i="9"/>
  <c r="O44" i="9"/>
  <c r="Q44" i="9"/>
  <c r="L37" i="35"/>
  <c r="L14" i="9"/>
  <c r="K63" i="9"/>
  <c r="P63" i="9"/>
  <c r="O63" i="9"/>
  <c r="N63" i="9"/>
  <c r="L29" i="35"/>
  <c r="P86" i="9"/>
  <c r="O14" i="9"/>
  <c r="Q122" i="9"/>
  <c r="M122" i="9"/>
  <c r="O186" i="9"/>
  <c r="L186" i="9"/>
  <c r="N186" i="9"/>
  <c r="M186" i="9"/>
  <c r="Q186" i="9"/>
  <c r="P186" i="9"/>
  <c r="K29" i="34"/>
  <c r="L35" i="1"/>
  <c r="L35" i="35"/>
  <c r="K37" i="36"/>
  <c r="N22" i="9"/>
  <c r="M95" i="9"/>
  <c r="K38" i="37"/>
  <c r="L63" i="9"/>
  <c r="O43" i="1"/>
  <c r="L39" i="36"/>
  <c r="R177" i="9"/>
  <c r="L40" i="35"/>
  <c r="L40" i="31"/>
  <c r="R117" i="9"/>
  <c r="L81" i="9"/>
  <c r="M112" i="9"/>
  <c r="M159" i="9"/>
  <c r="M98" i="9"/>
  <c r="R20" i="9"/>
  <c r="Q40" i="9"/>
  <c r="O39" i="35"/>
  <c r="K39" i="34"/>
  <c r="P22" i="9"/>
  <c r="P103" i="9"/>
  <c r="O103" i="9"/>
  <c r="N103" i="9"/>
  <c r="Q103" i="9"/>
  <c r="R103" i="9"/>
  <c r="M103" i="9"/>
  <c r="K185" i="9"/>
  <c r="R185" i="9"/>
  <c r="L131" i="9"/>
  <c r="R131" i="9"/>
  <c r="K131" i="9"/>
  <c r="Q131" i="9"/>
  <c r="M131" i="9"/>
  <c r="O131" i="9"/>
  <c r="L37" i="33"/>
  <c r="L37" i="36"/>
  <c r="K37" i="1"/>
  <c r="L37" i="37"/>
  <c r="K37" i="32"/>
  <c r="L58" i="9"/>
  <c r="M58" i="9"/>
  <c r="P20" i="9"/>
  <c r="O39" i="1"/>
  <c r="L148" i="9"/>
  <c r="P148" i="9"/>
  <c r="O148" i="9"/>
  <c r="N148" i="9"/>
  <c r="M148" i="9"/>
  <c r="R148" i="9"/>
  <c r="Q148" i="9"/>
  <c r="K148" i="9"/>
  <c r="L29" i="34"/>
  <c r="L35" i="31"/>
  <c r="K35" i="36"/>
  <c r="Q129" i="9"/>
  <c r="M14" i="9"/>
  <c r="R95" i="9"/>
  <c r="N61" i="9"/>
  <c r="O43" i="36"/>
  <c r="M63" i="9"/>
  <c r="K39" i="33"/>
  <c r="K61" i="9"/>
  <c r="N177" i="9"/>
  <c r="M20" i="9"/>
  <c r="L40" i="32"/>
  <c r="K40" i="35"/>
  <c r="N58" i="9"/>
  <c r="O98" i="9"/>
  <c r="P159" i="9"/>
  <c r="Q98" i="9"/>
  <c r="O39" i="31"/>
  <c r="K37" i="37"/>
  <c r="K37" i="31"/>
  <c r="N129" i="9"/>
  <c r="R22" i="9"/>
  <c r="P150" i="9"/>
  <c r="L150" i="9"/>
  <c r="O150" i="9"/>
  <c r="N150" i="9"/>
  <c r="M150" i="9"/>
  <c r="Q150" i="9"/>
  <c r="M11" i="9"/>
  <c r="R11" i="9"/>
  <c r="N11" i="9"/>
  <c r="M151" i="9"/>
  <c r="Q151" i="9"/>
  <c r="P151" i="9"/>
  <c r="O151" i="9"/>
  <c r="N151" i="9"/>
  <c r="K151" i="9"/>
  <c r="R151" i="9"/>
  <c r="L151" i="9"/>
  <c r="L153" i="9"/>
  <c r="P153" i="9"/>
  <c r="M86" i="9"/>
  <c r="L37" i="34"/>
  <c r="R14" i="9"/>
  <c r="Q95" i="9"/>
  <c r="O43" i="31"/>
  <c r="Q63" i="9"/>
  <c r="L177" i="9"/>
  <c r="Q58" i="9"/>
  <c r="K29" i="36"/>
  <c r="L29" i="33"/>
  <c r="K14" i="9"/>
  <c r="R153" i="9"/>
  <c r="R63" i="9"/>
  <c r="R61" i="9"/>
  <c r="O177" i="9"/>
  <c r="L122" i="9"/>
  <c r="R122" i="9"/>
  <c r="K40" i="34"/>
  <c r="M117" i="9"/>
  <c r="P58" i="9"/>
  <c r="O39" i="33"/>
  <c r="L37" i="31"/>
  <c r="O129" i="9"/>
  <c r="L22" i="9"/>
  <c r="O134" i="9"/>
  <c r="Q134" i="9"/>
  <c r="M134" i="9"/>
  <c r="R134" i="9"/>
  <c r="P134" i="9"/>
  <c r="N134" i="9"/>
  <c r="L134" i="9"/>
  <c r="K134" i="9"/>
  <c r="K127" i="9"/>
  <c r="Q127" i="9"/>
  <c r="L127" i="9"/>
  <c r="P127" i="9"/>
  <c r="R113" i="9"/>
  <c r="K113" i="9"/>
  <c r="K43" i="36"/>
  <c r="L43" i="1"/>
  <c r="N140" i="9"/>
  <c r="M140" i="9"/>
  <c r="R140" i="9"/>
  <c r="Q140" i="9"/>
  <c r="L140" i="9"/>
  <c r="K140" i="9"/>
  <c r="P140" i="9"/>
  <c r="O140" i="9"/>
  <c r="R64" i="9"/>
  <c r="P64" i="9"/>
  <c r="O64" i="9"/>
  <c r="N64" i="9"/>
  <c r="K64" i="9"/>
  <c r="L64" i="9"/>
  <c r="N84" i="9"/>
  <c r="M194" i="9"/>
  <c r="N86" i="9"/>
  <c r="M188" i="9"/>
  <c r="K172" i="9"/>
  <c r="R172" i="9"/>
  <c r="P172" i="9"/>
  <c r="L172" i="9"/>
  <c r="M172" i="9"/>
  <c r="Q172" i="9"/>
  <c r="O172" i="9"/>
  <c r="N172" i="9"/>
  <c r="N152" i="9"/>
  <c r="P152" i="9"/>
  <c r="O152" i="9"/>
  <c r="M152" i="9"/>
  <c r="L152" i="9"/>
  <c r="Q152" i="9"/>
  <c r="R152" i="9"/>
  <c r="K152" i="9"/>
  <c r="M121" i="9"/>
  <c r="O121" i="9"/>
  <c r="R121" i="9"/>
  <c r="K112" i="9"/>
  <c r="R112" i="9"/>
  <c r="Q112" i="9"/>
  <c r="P112" i="9"/>
  <c r="M90" i="9"/>
  <c r="K90" i="9"/>
  <c r="L29" i="37"/>
  <c r="L29" i="36"/>
  <c r="L109" i="9"/>
  <c r="N67" i="9"/>
  <c r="K38" i="1"/>
  <c r="L110" i="9"/>
  <c r="K38" i="35"/>
  <c r="P128" i="9"/>
  <c r="Q84" i="9"/>
  <c r="L86" i="9"/>
  <c r="P194" i="9"/>
  <c r="O112" i="9"/>
  <c r="O90" i="9"/>
  <c r="O86" i="9"/>
  <c r="N188" i="9"/>
  <c r="K20" i="9"/>
  <c r="Q56" i="9"/>
  <c r="N40" i="9"/>
  <c r="O42" i="9"/>
  <c r="P42" i="9"/>
  <c r="R42" i="9"/>
  <c r="Q42" i="9"/>
  <c r="L162" i="9"/>
  <c r="P162" i="9"/>
  <c r="O162" i="9"/>
  <c r="R162" i="9"/>
  <c r="N162" i="9"/>
  <c r="K162" i="9"/>
  <c r="M162" i="9"/>
  <c r="Q162" i="9"/>
  <c r="K159" i="9"/>
  <c r="R159" i="9"/>
  <c r="Q159" i="9"/>
  <c r="P68" i="9"/>
  <c r="M68" i="9"/>
  <c r="O68" i="9"/>
  <c r="N68" i="9"/>
  <c r="L68" i="9"/>
  <c r="Q68" i="9"/>
  <c r="K68" i="9"/>
  <c r="R68" i="9"/>
  <c r="Q83" i="9"/>
  <c r="O83" i="9"/>
  <c r="M83" i="9"/>
  <c r="P83" i="9"/>
  <c r="K83" i="9"/>
  <c r="R83" i="9"/>
  <c r="N83" i="9"/>
  <c r="L83" i="9"/>
  <c r="M88" i="9"/>
  <c r="K88" i="9"/>
  <c r="R88" i="9"/>
  <c r="N88" i="9"/>
  <c r="P88" i="9"/>
  <c r="Q88" i="9"/>
  <c r="O88" i="9"/>
  <c r="L88" i="9"/>
  <c r="P192" i="9"/>
  <c r="M192" i="9"/>
  <c r="O192" i="9"/>
  <c r="N192" i="9"/>
  <c r="Q192" i="9"/>
  <c r="L38" i="31"/>
  <c r="N121" i="9"/>
  <c r="K121" i="9"/>
  <c r="K38" i="31"/>
  <c r="L38" i="32"/>
  <c r="O188" i="9"/>
  <c r="R84" i="9"/>
  <c r="R194" i="9"/>
  <c r="Q20" i="9"/>
  <c r="P188" i="9"/>
  <c r="N112" i="9"/>
  <c r="R90" i="9"/>
  <c r="O20" i="9"/>
  <c r="K188" i="9"/>
  <c r="L20" i="9"/>
  <c r="R40" i="9"/>
  <c r="P161" i="9"/>
  <c r="N161" i="9"/>
  <c r="M161" i="9"/>
  <c r="O161" i="9"/>
  <c r="K161" i="9"/>
  <c r="R161" i="9"/>
  <c r="L161" i="9"/>
  <c r="Q161" i="9"/>
  <c r="K156" i="9"/>
  <c r="R156" i="9"/>
  <c r="O156" i="9"/>
  <c r="N156" i="9"/>
  <c r="M156" i="9"/>
  <c r="L156" i="9"/>
  <c r="P156" i="9"/>
  <c r="Q156" i="9"/>
  <c r="P110" i="9"/>
  <c r="R110" i="9"/>
  <c r="N124" i="9"/>
  <c r="Q124" i="9"/>
  <c r="O124" i="9"/>
  <c r="K124" i="9"/>
  <c r="R124" i="9"/>
  <c r="K109" i="9"/>
  <c r="P109" i="9"/>
  <c r="R109" i="9"/>
  <c r="O109" i="9"/>
  <c r="Q109" i="9"/>
  <c r="P89" i="9"/>
  <c r="M89" i="9"/>
  <c r="Q89" i="9"/>
  <c r="L89" i="9"/>
  <c r="K89" i="9"/>
  <c r="O89" i="9"/>
  <c r="R89" i="9"/>
  <c r="N89" i="9"/>
  <c r="K192" i="9"/>
  <c r="R67" i="9"/>
  <c r="L67" i="9"/>
  <c r="P67" i="9"/>
  <c r="K67" i="9"/>
  <c r="M67" i="9"/>
  <c r="L38" i="33"/>
  <c r="K38" i="33"/>
  <c r="N109" i="9"/>
  <c r="O67" i="9"/>
  <c r="M64" i="9"/>
  <c r="Q121" i="9"/>
  <c r="O110" i="9"/>
  <c r="O84" i="9"/>
  <c r="L124" i="9"/>
  <c r="L90" i="9"/>
  <c r="Q86" i="9"/>
  <c r="R188" i="9"/>
  <c r="O40" i="9"/>
  <c r="M66" i="9"/>
  <c r="P66" i="9"/>
  <c r="N66" i="9"/>
  <c r="L66" i="9"/>
  <c r="R66" i="9"/>
  <c r="L190" i="9"/>
  <c r="K190" i="9"/>
  <c r="O190" i="9"/>
  <c r="Q190" i="9"/>
  <c r="R190" i="9"/>
  <c r="P190" i="9"/>
  <c r="Q91" i="9"/>
  <c r="M91" i="9"/>
  <c r="L91" i="9"/>
  <c r="R91" i="9"/>
  <c r="N91" i="9"/>
  <c r="O91" i="9"/>
  <c r="K91" i="9"/>
  <c r="P91" i="9"/>
  <c r="K79" i="9"/>
  <c r="Q79" i="9"/>
  <c r="L79" i="9"/>
  <c r="P79" i="9"/>
  <c r="O79" i="9"/>
  <c r="M79" i="9"/>
  <c r="P160" i="9"/>
  <c r="N160" i="9"/>
  <c r="M160" i="9"/>
  <c r="Q160" i="9"/>
  <c r="R82" i="9"/>
  <c r="K82" i="9"/>
  <c r="O82" i="9"/>
  <c r="P82" i="9"/>
  <c r="N82" i="9"/>
  <c r="Q82" i="9"/>
  <c r="Q158" i="9"/>
  <c r="M158" i="9"/>
  <c r="R158" i="9"/>
  <c r="L158" i="9"/>
  <c r="N158" i="9"/>
  <c r="K158" i="9"/>
  <c r="O41" i="33"/>
  <c r="O41" i="1"/>
  <c r="O41" i="36"/>
  <c r="O41" i="37"/>
  <c r="O41" i="32"/>
  <c r="O41" i="35"/>
  <c r="O41" i="31"/>
  <c r="O41" i="34"/>
  <c r="K157" i="9"/>
  <c r="O157" i="9"/>
  <c r="L157" i="9"/>
  <c r="Q157" i="9"/>
  <c r="M157" i="9"/>
  <c r="P157" i="9"/>
  <c r="N157" i="9"/>
  <c r="O158" i="9"/>
  <c r="M84" i="9"/>
  <c r="O194" i="9"/>
  <c r="L38" i="34"/>
  <c r="L38" i="1"/>
  <c r="K38" i="36"/>
  <c r="K38" i="32"/>
  <c r="L38" i="36"/>
  <c r="L38" i="35"/>
  <c r="O31" i="9"/>
  <c r="K31" i="9"/>
  <c r="M31" i="9"/>
  <c r="Q31" i="9"/>
  <c r="N31" i="9"/>
  <c r="P31" i="9"/>
  <c r="R31" i="9"/>
  <c r="L31" i="9"/>
  <c r="Q64" i="9"/>
  <c r="Q110" i="9"/>
  <c r="N110" i="9"/>
  <c r="P84" i="9"/>
  <c r="K194" i="9"/>
  <c r="P124" i="9"/>
  <c r="O133" i="9"/>
  <c r="N133" i="9"/>
  <c r="M133" i="9"/>
  <c r="P133" i="9"/>
  <c r="Q133" i="9"/>
  <c r="K133" i="9"/>
  <c r="R81" i="9"/>
  <c r="O81" i="9"/>
  <c r="P155" i="9"/>
  <c r="N155" i="9"/>
  <c r="L155" i="9"/>
  <c r="Q155" i="9"/>
  <c r="M155" i="9"/>
  <c r="K155" i="9"/>
  <c r="R155" i="9"/>
  <c r="L39" i="34"/>
  <c r="L39" i="33"/>
  <c r="K39" i="32"/>
  <c r="K39" i="37"/>
  <c r="L39" i="35"/>
  <c r="K39" i="35"/>
  <c r="K39" i="31"/>
  <c r="P80" i="9"/>
  <c r="L80" i="9"/>
  <c r="R80" i="9"/>
  <c r="O80" i="9"/>
  <c r="M80" i="9"/>
  <c r="Q80" i="9"/>
  <c r="K80" i="9"/>
  <c r="N80" i="9"/>
  <c r="L42" i="31"/>
  <c r="L42" i="33"/>
  <c r="L42" i="32"/>
  <c r="K34" i="37"/>
  <c r="L34" i="1"/>
  <c r="L34" i="37"/>
  <c r="K34" i="34"/>
  <c r="L34" i="32"/>
  <c r="L34" i="35"/>
  <c r="K34" i="31"/>
  <c r="L34" i="33"/>
  <c r="K34" i="1"/>
  <c r="L34" i="31"/>
  <c r="K34" i="35"/>
  <c r="L34" i="34"/>
  <c r="K34" i="33"/>
  <c r="K34" i="36"/>
  <c r="K34" i="32"/>
  <c r="L34" i="36"/>
  <c r="O42" i="37"/>
  <c r="O42" i="32"/>
  <c r="O42" i="34"/>
  <c r="O42" i="36"/>
  <c r="O42" i="31"/>
  <c r="O42" i="33"/>
  <c r="O42" i="1"/>
  <c r="O42" i="35"/>
  <c r="L44" i="36"/>
  <c r="K44" i="34"/>
  <c r="K44" i="36"/>
  <c r="K44" i="35"/>
  <c r="L44" i="31"/>
  <c r="L44" i="34"/>
  <c r="K44" i="33"/>
  <c r="K44" i="32"/>
  <c r="K44" i="31"/>
  <c r="L44" i="33"/>
  <c r="L44" i="32"/>
  <c r="L44" i="1"/>
  <c r="L44" i="35"/>
  <c r="L44" i="37"/>
  <c r="K44" i="1"/>
  <c r="K44" i="37"/>
  <c r="K33" i="1"/>
  <c r="L33" i="36"/>
  <c r="L33" i="35"/>
  <c r="K33" i="37"/>
  <c r="L33" i="34"/>
  <c r="L33" i="31"/>
  <c r="L33" i="33"/>
  <c r="K33" i="36"/>
  <c r="K33" i="33"/>
  <c r="K33" i="32"/>
  <c r="L33" i="37"/>
  <c r="L33" i="1"/>
  <c r="L33" i="32"/>
  <c r="K33" i="35"/>
  <c r="K33" i="34"/>
  <c r="K33" i="31"/>
  <c r="AM58" i="17"/>
  <c r="AQ58" i="17"/>
  <c r="AJ58" i="17"/>
  <c r="AP58" i="17"/>
  <c r="AK58" i="17"/>
  <c r="AL58" i="17"/>
  <c r="AO58" i="17"/>
  <c r="AN58" i="17"/>
  <c r="Q12" i="1" l="1"/>
  <c r="Q15" i="1"/>
  <c r="H13" i="36"/>
  <c r="J13" i="36" s="1"/>
  <c r="I13" i="36"/>
  <c r="I13" i="37"/>
  <c r="H13" i="37"/>
  <c r="J13" i="37" s="1"/>
  <c r="H13" i="31"/>
  <c r="J13" i="31" s="1"/>
  <c r="I13" i="31"/>
  <c r="H13" i="35"/>
  <c r="J13" i="35" s="1"/>
  <c r="I13" i="35"/>
  <c r="H13" i="32"/>
  <c r="J13" i="32" s="1"/>
  <c r="I13" i="32"/>
  <c r="I13" i="33"/>
  <c r="H13" i="33"/>
  <c r="J13" i="33" s="1"/>
  <c r="I13" i="34"/>
  <c r="H13" i="34"/>
  <c r="J13" i="34" s="1"/>
  <c r="AP307" i="17"/>
  <c r="AS307" i="17"/>
  <c r="AP310" i="17"/>
  <c r="AP311" i="17"/>
  <c r="AP314" i="17"/>
  <c r="AP309" i="17"/>
  <c r="AP317" i="17"/>
  <c r="AP313" i="17"/>
  <c r="AP305" i="17"/>
  <c r="AP304" i="17"/>
  <c r="AP315" i="17"/>
  <c r="AP306" i="17"/>
  <c r="AP303" i="17"/>
  <c r="AZ303" i="17"/>
  <c r="AP308" i="17"/>
  <c r="AZ308" i="17"/>
  <c r="AP316" i="17"/>
  <c r="AZ318" i="17"/>
  <c r="AP318" i="17"/>
  <c r="AS318" i="17"/>
  <c r="BC318" i="17"/>
  <c r="AS303" i="17"/>
  <c r="BC307" i="17"/>
  <c r="BC303" i="17"/>
  <c r="AS311" i="17"/>
  <c r="AX311" i="17"/>
  <c r="C290" i="2"/>
  <c r="M34" i="1"/>
  <c r="M34" i="37"/>
  <c r="M34" i="33"/>
  <c r="C53" i="33"/>
  <c r="M34" i="35"/>
  <c r="C53" i="35"/>
  <c r="M34" i="34"/>
  <c r="H34" i="32"/>
  <c r="M34" i="32"/>
  <c r="E17" i="35"/>
  <c r="E17" i="31"/>
  <c r="E17" i="34"/>
  <c r="AT293" i="17" s="1"/>
  <c r="E17" i="32"/>
  <c r="E17" i="36"/>
  <c r="E17" i="33"/>
  <c r="AO293" i="17" s="1"/>
  <c r="E17" i="37"/>
  <c r="AY293" i="17" s="1"/>
  <c r="E35" i="32"/>
  <c r="C54" i="32" s="1"/>
  <c r="E35" i="35"/>
  <c r="C54" i="35" s="1"/>
  <c r="H34" i="36"/>
  <c r="M34" i="36"/>
  <c r="E16" i="36"/>
  <c r="E16" i="34"/>
  <c r="AT292" i="17" s="1"/>
  <c r="E16" i="32"/>
  <c r="E16" i="35"/>
  <c r="E16" i="31"/>
  <c r="E16" i="37"/>
  <c r="AY292" i="17" s="1"/>
  <c r="E16" i="33"/>
  <c r="AO292" i="17" s="1"/>
  <c r="E29" i="32"/>
  <c r="C48" i="32" s="1"/>
  <c r="E29" i="1"/>
  <c r="E29" i="36"/>
  <c r="C48" i="36" s="1"/>
  <c r="E29" i="31"/>
  <c r="C48" i="31" s="1"/>
  <c r="E29" i="35"/>
  <c r="C48" i="35" s="1"/>
  <c r="E29" i="33"/>
  <c r="C48" i="33" s="1"/>
  <c r="E29" i="37"/>
  <c r="C48" i="37" s="1"/>
  <c r="E29" i="34"/>
  <c r="C48" i="34" s="1"/>
  <c r="AJ289" i="17"/>
  <c r="E23" i="37"/>
  <c r="AY299" i="17" s="1"/>
  <c r="E23" i="36"/>
  <c r="E23" i="34"/>
  <c r="AT299" i="17" s="1"/>
  <c r="E23" i="33"/>
  <c r="AO299" i="17" s="1"/>
  <c r="E23" i="32"/>
  <c r="E23" i="31"/>
  <c r="E23" i="35"/>
  <c r="E20" i="32"/>
  <c r="E20" i="31"/>
  <c r="E20" i="36"/>
  <c r="E20" i="37"/>
  <c r="AY296" i="17" s="1"/>
  <c r="E20" i="33"/>
  <c r="AO296" i="17" s="1"/>
  <c r="E20" i="35"/>
  <c r="E20" i="34"/>
  <c r="AT296" i="17" s="1"/>
  <c r="H34" i="1"/>
  <c r="H34" i="35"/>
  <c r="E44" i="33"/>
  <c r="C63" i="33" s="1"/>
  <c r="E44" i="34"/>
  <c r="C63" i="34" s="1"/>
  <c r="E44" i="36"/>
  <c r="C63" i="36" s="1"/>
  <c r="E44" i="35"/>
  <c r="C63" i="35" s="1"/>
  <c r="E44" i="1"/>
  <c r="C63" i="1" s="1"/>
  <c r="E44" i="32"/>
  <c r="C63" i="32" s="1"/>
  <c r="E44" i="37"/>
  <c r="C63" i="37" s="1"/>
  <c r="E44" i="31"/>
  <c r="C63" i="31" s="1"/>
  <c r="E14" i="36"/>
  <c r="E14" i="34"/>
  <c r="AT290" i="17" s="1"/>
  <c r="E14" i="37"/>
  <c r="AY290" i="17" s="1"/>
  <c r="E14" i="33"/>
  <c r="AO290" i="17" s="1"/>
  <c r="E14" i="35"/>
  <c r="E14" i="31"/>
  <c r="E14" i="32"/>
  <c r="E15" i="37"/>
  <c r="AY291" i="17" s="1"/>
  <c r="E15" i="34"/>
  <c r="AT291" i="17" s="1"/>
  <c r="E15" i="32"/>
  <c r="E15" i="36"/>
  <c r="E15" i="35"/>
  <c r="E15" i="33"/>
  <c r="AO291" i="17" s="1"/>
  <c r="E15" i="31"/>
  <c r="H34" i="37"/>
  <c r="E19" i="33"/>
  <c r="AO295" i="17" s="1"/>
  <c r="E19" i="32"/>
  <c r="E19" i="31"/>
  <c r="E19" i="37"/>
  <c r="AY295" i="17" s="1"/>
  <c r="E19" i="36"/>
  <c r="E19" i="34"/>
  <c r="AT295" i="17" s="1"/>
  <c r="E19" i="35"/>
  <c r="E8" i="36"/>
  <c r="E8" i="32"/>
  <c r="E8" i="35"/>
  <c r="E8" i="34"/>
  <c r="AT284" i="17" s="1"/>
  <c r="E8" i="33"/>
  <c r="AO284" i="17" s="1"/>
  <c r="E8" i="31"/>
  <c r="E8" i="37"/>
  <c r="AY284" i="17" s="1"/>
  <c r="E22" i="37"/>
  <c r="AY298" i="17" s="1"/>
  <c r="E22" i="36"/>
  <c r="E22" i="35"/>
  <c r="E22" i="34"/>
  <c r="AT298" i="17" s="1"/>
  <c r="E22" i="33"/>
  <c r="AO298" i="17" s="1"/>
  <c r="E22" i="32"/>
  <c r="E22" i="31"/>
  <c r="H34" i="34"/>
  <c r="H34" i="31"/>
  <c r="M34" i="31"/>
  <c r="E21" i="36"/>
  <c r="E21" i="35"/>
  <c r="E21" i="34"/>
  <c r="AT297" i="17" s="1"/>
  <c r="E21" i="32"/>
  <c r="E21" i="31"/>
  <c r="E21" i="37"/>
  <c r="AY297" i="17" s="1"/>
  <c r="E21" i="33"/>
  <c r="AO297" i="17" s="1"/>
  <c r="E18" i="34"/>
  <c r="AT294" i="17" s="1"/>
  <c r="E18" i="33"/>
  <c r="AO294" i="17" s="1"/>
  <c r="E18" i="32"/>
  <c r="E18" i="35"/>
  <c r="E18" i="31"/>
  <c r="E18" i="37"/>
  <c r="AY294" i="17" s="1"/>
  <c r="E18" i="36"/>
  <c r="H34" i="33"/>
  <c r="G51" i="1"/>
  <c r="G51" i="31"/>
  <c r="G62" i="33"/>
  <c r="G62" i="32"/>
  <c r="G61" i="1"/>
  <c r="G50" i="31"/>
  <c r="G51" i="33"/>
  <c r="G59" i="1"/>
  <c r="G48" i="36"/>
  <c r="G54" i="31"/>
  <c r="G53" i="36"/>
  <c r="G61" i="35"/>
  <c r="G55" i="1"/>
  <c r="G48" i="1"/>
  <c r="G52" i="31"/>
  <c r="G61" i="37"/>
  <c r="G51" i="37"/>
  <c r="G59" i="31"/>
  <c r="G52" i="37"/>
  <c r="G49" i="35"/>
  <c r="G49" i="33"/>
  <c r="G51" i="32"/>
  <c r="G62" i="35"/>
  <c r="G61" i="33"/>
  <c r="G59" i="36"/>
  <c r="G59" i="37"/>
  <c r="G57" i="33"/>
  <c r="G49" i="36"/>
  <c r="G61" i="34"/>
  <c r="G57" i="35"/>
  <c r="G53" i="32"/>
  <c r="G51" i="36"/>
  <c r="G62" i="1"/>
  <c r="G48" i="34"/>
  <c r="G49" i="34"/>
  <c r="G50" i="37"/>
  <c r="G56" i="37"/>
  <c r="G62" i="34"/>
  <c r="G51" i="34"/>
  <c r="G51" i="35"/>
  <c r="G52" i="1"/>
  <c r="G52" i="33"/>
  <c r="G62" i="31"/>
  <c r="G55" i="33"/>
  <c r="G63" i="36"/>
  <c r="G53" i="37"/>
  <c r="L53" i="37" s="1"/>
  <c r="G61" i="36"/>
  <c r="G58" i="1"/>
  <c r="G56" i="32"/>
  <c r="G57" i="32"/>
  <c r="G48" i="33"/>
  <c r="G55" i="31"/>
  <c r="G63" i="31"/>
  <c r="G61" i="32"/>
  <c r="G49" i="31"/>
  <c r="G58" i="31"/>
  <c r="G58" i="37"/>
  <c r="G55" i="32"/>
  <c r="G57" i="36"/>
  <c r="G56" i="1"/>
  <c r="G61" i="31"/>
  <c r="G48" i="37"/>
  <c r="G55" i="36"/>
  <c r="G58" i="36"/>
  <c r="G56" i="36"/>
  <c r="G49" i="37"/>
  <c r="G50" i="1"/>
  <c r="G53" i="1"/>
  <c r="L53" i="1" s="1"/>
  <c r="G52" i="32"/>
  <c r="G59" i="33"/>
  <c r="G62" i="37"/>
  <c r="G48" i="35"/>
  <c r="G49" i="1"/>
  <c r="G54" i="34"/>
  <c r="G57" i="31"/>
  <c r="G48" i="31"/>
  <c r="G59" i="32"/>
  <c r="G48" i="32"/>
  <c r="G58" i="35"/>
  <c r="G50" i="35"/>
  <c r="G57" i="37"/>
  <c r="G49" i="32"/>
  <c r="G55" i="37"/>
  <c r="G55" i="34"/>
  <c r="G54" i="33"/>
  <c r="G56" i="34"/>
  <c r="G53" i="35"/>
  <c r="G52" i="34"/>
  <c r="G62" i="36"/>
  <c r="G58" i="33"/>
  <c r="G54" i="1"/>
  <c r="G63" i="1"/>
  <c r="G57" i="34"/>
  <c r="G60" i="35"/>
  <c r="G52" i="35"/>
  <c r="G58" i="34"/>
  <c r="G55" i="35"/>
  <c r="G53" i="34"/>
  <c r="G54" i="35"/>
  <c r="G54" i="36"/>
  <c r="G59" i="34"/>
  <c r="G56" i="33"/>
  <c r="G57" i="1"/>
  <c r="G50" i="34"/>
  <c r="G56" i="35"/>
  <c r="G60" i="37"/>
  <c r="G59" i="35"/>
  <c r="G58" i="32"/>
  <c r="G54" i="32"/>
  <c r="G54" i="37"/>
  <c r="G60" i="1"/>
  <c r="G52" i="36"/>
  <c r="G50" i="36"/>
  <c r="G53" i="31"/>
  <c r="G63" i="35"/>
  <c r="G63" i="33"/>
  <c r="G50" i="33"/>
  <c r="G60" i="31"/>
  <c r="G63" i="37"/>
  <c r="G60" i="33"/>
  <c r="G56" i="31"/>
  <c r="G63" i="32"/>
  <c r="G50" i="32"/>
  <c r="G63" i="34"/>
  <c r="G53" i="33"/>
  <c r="G60" i="34"/>
  <c r="G60" i="32"/>
  <c r="G60" i="36"/>
  <c r="AK66" i="17"/>
  <c r="AP5" i="17"/>
  <c r="AO50" i="17"/>
  <c r="AQ5" i="17"/>
  <c r="AM66" i="17"/>
  <c r="AJ50" i="17"/>
  <c r="AN50" i="17"/>
  <c r="AM50" i="17"/>
  <c r="AL66" i="17"/>
  <c r="AN5" i="17"/>
  <c r="AQ50" i="17"/>
  <c r="AO66" i="17"/>
  <c r="AP50" i="17"/>
  <c r="AO5" i="17"/>
  <c r="AN66" i="17"/>
  <c r="AK50" i="17"/>
  <c r="AJ66" i="17"/>
  <c r="AL50" i="17"/>
  <c r="AP66" i="17"/>
  <c r="AQ66" i="17"/>
  <c r="AT5" i="17" l="1"/>
  <c r="AV5" i="17" s="1"/>
  <c r="AS5" i="17"/>
  <c r="AU5" i="17" s="1"/>
  <c r="P34" i="36"/>
  <c r="P34" i="34"/>
  <c r="P34" i="31"/>
  <c r="P34" i="35"/>
  <c r="P34" i="32"/>
  <c r="P34" i="33"/>
  <c r="P34" i="1"/>
  <c r="C48" i="1"/>
  <c r="L48" i="1" s="1"/>
  <c r="H29" i="1"/>
  <c r="R13" i="35"/>
  <c r="Q13" i="35"/>
  <c r="R13" i="37"/>
  <c r="Q13" i="37"/>
  <c r="R13" i="33"/>
  <c r="Q13" i="33"/>
  <c r="R13" i="31"/>
  <c r="Q13" i="31"/>
  <c r="R13" i="32"/>
  <c r="Q13" i="32"/>
  <c r="R13" i="36"/>
  <c r="Q13" i="36"/>
  <c r="I19" i="32"/>
  <c r="H19" i="32"/>
  <c r="J19" i="32" s="1"/>
  <c r="H18" i="33"/>
  <c r="J18" i="33" s="1"/>
  <c r="I18" i="33"/>
  <c r="H21" i="36"/>
  <c r="J21" i="36" s="1"/>
  <c r="I21" i="36"/>
  <c r="I22" i="35"/>
  <c r="H22" i="35"/>
  <c r="J22" i="35" s="1"/>
  <c r="H8" i="32"/>
  <c r="J8" i="32" s="1"/>
  <c r="I8" i="32"/>
  <c r="I19" i="33"/>
  <c r="H19" i="33"/>
  <c r="J19" i="33" s="1"/>
  <c r="I15" i="34"/>
  <c r="H15" i="34"/>
  <c r="J15" i="34" s="1"/>
  <c r="H14" i="36"/>
  <c r="J14" i="36" s="1"/>
  <c r="I14" i="36"/>
  <c r="I20" i="36"/>
  <c r="H20" i="36"/>
  <c r="J20" i="36" s="1"/>
  <c r="I23" i="36"/>
  <c r="H23" i="36"/>
  <c r="J23" i="36" s="1"/>
  <c r="H16" i="34"/>
  <c r="J16" i="34" s="1"/>
  <c r="I16" i="34"/>
  <c r="H17" i="36"/>
  <c r="J17" i="36" s="1"/>
  <c r="I17" i="36"/>
  <c r="I18" i="34"/>
  <c r="H18" i="34"/>
  <c r="J18" i="34" s="1"/>
  <c r="I22" i="36"/>
  <c r="H22" i="36"/>
  <c r="J22" i="36" s="1"/>
  <c r="I8" i="36"/>
  <c r="H8" i="36"/>
  <c r="J8" i="36" s="1"/>
  <c r="I15" i="37"/>
  <c r="H15" i="37"/>
  <c r="J15" i="37" s="1"/>
  <c r="I20" i="31"/>
  <c r="H20" i="31"/>
  <c r="J20" i="31" s="1"/>
  <c r="H23" i="37"/>
  <c r="J23" i="37" s="1"/>
  <c r="I23" i="37"/>
  <c r="I16" i="36"/>
  <c r="H16" i="36"/>
  <c r="J16" i="36" s="1"/>
  <c r="I17" i="32"/>
  <c r="H17" i="32"/>
  <c r="J17" i="32" s="1"/>
  <c r="I21" i="35"/>
  <c r="H21" i="35"/>
  <c r="J21" i="35" s="1"/>
  <c r="H15" i="32"/>
  <c r="J15" i="32" s="1"/>
  <c r="I15" i="32"/>
  <c r="H17" i="33"/>
  <c r="J17" i="33" s="1"/>
  <c r="I17" i="33"/>
  <c r="H17" i="34"/>
  <c r="J17" i="34" s="1"/>
  <c r="I17" i="34"/>
  <c r="H18" i="36"/>
  <c r="J18" i="36" s="1"/>
  <c r="I18" i="36"/>
  <c r="H14" i="31"/>
  <c r="J14" i="31" s="1"/>
  <c r="I14" i="31"/>
  <c r="H18" i="37"/>
  <c r="J18" i="37" s="1"/>
  <c r="I18" i="37"/>
  <c r="I21" i="31"/>
  <c r="H21" i="31"/>
  <c r="J21" i="31" s="1"/>
  <c r="H22" i="31"/>
  <c r="J22" i="31" s="1"/>
  <c r="I22" i="31"/>
  <c r="H8" i="31"/>
  <c r="J8" i="31" s="1"/>
  <c r="I8" i="31"/>
  <c r="H19" i="36"/>
  <c r="J19" i="36" s="1"/>
  <c r="I19" i="36"/>
  <c r="I15" i="33"/>
  <c r="H15" i="33"/>
  <c r="J15" i="33" s="1"/>
  <c r="I14" i="35"/>
  <c r="H14" i="35"/>
  <c r="J14" i="35" s="1"/>
  <c r="H20" i="34"/>
  <c r="J20" i="34" s="1"/>
  <c r="I20" i="34"/>
  <c r="I23" i="31"/>
  <c r="H23" i="31"/>
  <c r="J23" i="31" s="1"/>
  <c r="H16" i="37"/>
  <c r="J16" i="37" s="1"/>
  <c r="I16" i="37"/>
  <c r="H17" i="35"/>
  <c r="J17" i="35" s="1"/>
  <c r="I17" i="35"/>
  <c r="H22" i="34"/>
  <c r="J22" i="34" s="1"/>
  <c r="I22" i="34"/>
  <c r="I23" i="34"/>
  <c r="H23" i="34"/>
  <c r="J23" i="34" s="1"/>
  <c r="I22" i="37"/>
  <c r="H22" i="37"/>
  <c r="J22" i="37" s="1"/>
  <c r="I20" i="32"/>
  <c r="H20" i="32"/>
  <c r="J20" i="32" s="1"/>
  <c r="I21" i="37"/>
  <c r="H21" i="37"/>
  <c r="J21" i="37" s="1"/>
  <c r="I8" i="37"/>
  <c r="H8" i="37"/>
  <c r="J8" i="37" s="1"/>
  <c r="H19" i="34"/>
  <c r="J19" i="34" s="1"/>
  <c r="I19" i="34"/>
  <c r="I15" i="31"/>
  <c r="H15" i="31"/>
  <c r="J15" i="31" s="1"/>
  <c r="H23" i="35"/>
  <c r="J23" i="35" s="1"/>
  <c r="I23" i="35"/>
  <c r="H16" i="33"/>
  <c r="J16" i="33" s="1"/>
  <c r="I16" i="33"/>
  <c r="H17" i="31"/>
  <c r="J17" i="31" s="1"/>
  <c r="I17" i="31"/>
  <c r="H18" i="31"/>
  <c r="J18" i="31" s="1"/>
  <c r="I18" i="31"/>
  <c r="H21" i="32"/>
  <c r="J21" i="32" s="1"/>
  <c r="I21" i="32"/>
  <c r="H22" i="32"/>
  <c r="J22" i="32" s="1"/>
  <c r="I22" i="32"/>
  <c r="H8" i="33"/>
  <c r="J8" i="33" s="1"/>
  <c r="I8" i="33"/>
  <c r="I19" i="37"/>
  <c r="H19" i="37"/>
  <c r="J19" i="37" s="1"/>
  <c r="H15" i="35"/>
  <c r="J15" i="35" s="1"/>
  <c r="I15" i="35"/>
  <c r="H14" i="33"/>
  <c r="J14" i="33" s="1"/>
  <c r="I14" i="33"/>
  <c r="I20" i="35"/>
  <c r="H20" i="35"/>
  <c r="J20" i="35" s="1"/>
  <c r="H23" i="32"/>
  <c r="J23" i="32" s="1"/>
  <c r="I23" i="32"/>
  <c r="H16" i="31"/>
  <c r="J16" i="31" s="1"/>
  <c r="I16" i="31"/>
  <c r="I18" i="32"/>
  <c r="H18" i="32"/>
  <c r="J18" i="32" s="1"/>
  <c r="I8" i="35"/>
  <c r="H8" i="35"/>
  <c r="J8" i="35" s="1"/>
  <c r="H14" i="34"/>
  <c r="J14" i="34" s="1"/>
  <c r="I14" i="34"/>
  <c r="I20" i="37"/>
  <c r="H20" i="37"/>
  <c r="J20" i="37" s="1"/>
  <c r="H16" i="32"/>
  <c r="J16" i="32" s="1"/>
  <c r="I16" i="32"/>
  <c r="H21" i="33"/>
  <c r="J21" i="33" s="1"/>
  <c r="I21" i="33"/>
  <c r="I19" i="35"/>
  <c r="H19" i="35"/>
  <c r="J19" i="35" s="1"/>
  <c r="H14" i="32"/>
  <c r="J14" i="32" s="1"/>
  <c r="I14" i="32"/>
  <c r="I18" i="35"/>
  <c r="H18" i="35"/>
  <c r="J18" i="35" s="1"/>
  <c r="I21" i="34"/>
  <c r="H21" i="34"/>
  <c r="J21" i="34" s="1"/>
  <c r="I22" i="33"/>
  <c r="H22" i="33"/>
  <c r="J22" i="33" s="1"/>
  <c r="H8" i="34"/>
  <c r="J8" i="34" s="1"/>
  <c r="I8" i="34"/>
  <c r="I19" i="31"/>
  <c r="H19" i="31"/>
  <c r="J19" i="31" s="1"/>
  <c r="H15" i="36"/>
  <c r="J15" i="36" s="1"/>
  <c r="I15" i="36"/>
  <c r="I14" i="37"/>
  <c r="H14" i="37"/>
  <c r="J14" i="37" s="1"/>
  <c r="I20" i="33"/>
  <c r="H20" i="33"/>
  <c r="J20" i="33" s="1"/>
  <c r="H23" i="33"/>
  <c r="J23" i="33" s="1"/>
  <c r="I23" i="33"/>
  <c r="H16" i="35"/>
  <c r="J16" i="35" s="1"/>
  <c r="I16" i="35"/>
  <c r="H17" i="37"/>
  <c r="J17" i="37" s="1"/>
  <c r="I17" i="37"/>
  <c r="AJ149" i="17"/>
  <c r="E35" i="36"/>
  <c r="C54" i="36" s="1"/>
  <c r="L54" i="36" s="1"/>
  <c r="E35" i="34"/>
  <c r="C54" i="34" s="1"/>
  <c r="L54" i="34" s="1"/>
  <c r="E35" i="33"/>
  <c r="C54" i="33" s="1"/>
  <c r="L54" i="33" s="1"/>
  <c r="E35" i="1"/>
  <c r="C54" i="1" s="1"/>
  <c r="L54" i="1" s="1"/>
  <c r="E35" i="31"/>
  <c r="C54" i="31" s="1"/>
  <c r="L54" i="31" s="1"/>
  <c r="L53" i="33"/>
  <c r="Q53" i="33" s="1"/>
  <c r="E35" i="37"/>
  <c r="C54" i="37" s="1"/>
  <c r="L54" i="37" s="1"/>
  <c r="C291" i="2"/>
  <c r="AY308" i="17"/>
  <c r="AT308" i="17"/>
  <c r="L53" i="36"/>
  <c r="Q53" i="36" s="1"/>
  <c r="AL61" i="17"/>
  <c r="AL62" i="17"/>
  <c r="AL60" i="17"/>
  <c r="AM62" i="17"/>
  <c r="AM60" i="17"/>
  <c r="AM61" i="17"/>
  <c r="AP62" i="17"/>
  <c r="AP61" i="17"/>
  <c r="AP60" i="17"/>
  <c r="AQ61" i="17"/>
  <c r="AQ60" i="17"/>
  <c r="AQ62" i="17"/>
  <c r="AO60" i="17"/>
  <c r="AO61" i="17"/>
  <c r="AO62" i="17"/>
  <c r="AK62" i="17"/>
  <c r="AK61" i="17"/>
  <c r="AK60" i="17"/>
  <c r="L53" i="35"/>
  <c r="Q53" i="35" s="1"/>
  <c r="L53" i="31"/>
  <c r="Q53" i="31" s="1"/>
  <c r="L53" i="32"/>
  <c r="Q53" i="32" s="1"/>
  <c r="AJ295" i="17"/>
  <c r="H44" i="1"/>
  <c r="M44" i="1"/>
  <c r="AJ284" i="17"/>
  <c r="H29" i="32"/>
  <c r="L48" i="32"/>
  <c r="M29" i="32"/>
  <c r="P29" i="32" s="1"/>
  <c r="L63" i="35"/>
  <c r="H44" i="35"/>
  <c r="M44" i="35"/>
  <c r="M29" i="1"/>
  <c r="P29" i="1" s="1"/>
  <c r="H44" i="36"/>
  <c r="L63" i="36"/>
  <c r="M44" i="36"/>
  <c r="AJ296" i="17"/>
  <c r="L48" i="34"/>
  <c r="H29" i="34"/>
  <c r="M29" i="34"/>
  <c r="P29" i="34" s="1"/>
  <c r="AJ292" i="17"/>
  <c r="E11" i="33"/>
  <c r="AO287" i="17" s="1"/>
  <c r="E11" i="36"/>
  <c r="E11" i="32"/>
  <c r="E11" i="31"/>
  <c r="E11" i="34"/>
  <c r="AT287" i="17" s="1"/>
  <c r="E11" i="37"/>
  <c r="AY287" i="17" s="1"/>
  <c r="E11" i="35"/>
  <c r="AJ293" i="17"/>
  <c r="AJ291" i="17"/>
  <c r="E10" i="34"/>
  <c r="AT286" i="17" s="1"/>
  <c r="E10" i="32"/>
  <c r="E10" i="31"/>
  <c r="E10" i="33"/>
  <c r="AO286" i="17" s="1"/>
  <c r="E10" i="37"/>
  <c r="AY286" i="17" s="1"/>
  <c r="E10" i="35"/>
  <c r="E10" i="36"/>
  <c r="H44" i="34"/>
  <c r="L63" i="34"/>
  <c r="M44" i="34"/>
  <c r="L48" i="37"/>
  <c r="H29" i="37"/>
  <c r="M29" i="37"/>
  <c r="P29" i="37" s="1"/>
  <c r="L63" i="33"/>
  <c r="H44" i="33"/>
  <c r="M44" i="33"/>
  <c r="AJ298" i="17"/>
  <c r="L63" i="31"/>
  <c r="H44" i="31"/>
  <c r="M44" i="31"/>
  <c r="L48" i="35"/>
  <c r="H29" i="35"/>
  <c r="M29" i="35"/>
  <c r="P29" i="35" s="1"/>
  <c r="H35" i="32"/>
  <c r="L54" i="32"/>
  <c r="M35" i="32"/>
  <c r="P35" i="32" s="1"/>
  <c r="AJ290" i="17"/>
  <c r="L63" i="1"/>
  <c r="AJ294" i="17"/>
  <c r="H44" i="37"/>
  <c r="L63" i="37"/>
  <c r="M44" i="37"/>
  <c r="H29" i="31"/>
  <c r="L48" i="31"/>
  <c r="M29" i="31"/>
  <c r="P29" i="31" s="1"/>
  <c r="E30" i="35"/>
  <c r="C49" i="35" s="1"/>
  <c r="E30" i="31"/>
  <c r="C49" i="31" s="1"/>
  <c r="E30" i="36"/>
  <c r="C49" i="36" s="1"/>
  <c r="E30" i="1"/>
  <c r="C49" i="1" s="1"/>
  <c r="E30" i="34"/>
  <c r="C49" i="34" s="1"/>
  <c r="E30" i="37"/>
  <c r="C49" i="37" s="1"/>
  <c r="E30" i="32"/>
  <c r="C49" i="32" s="1"/>
  <c r="E30" i="33"/>
  <c r="C49" i="33" s="1"/>
  <c r="AJ297" i="17"/>
  <c r="E9" i="35"/>
  <c r="E9" i="32"/>
  <c r="E9" i="34"/>
  <c r="AT285" i="17" s="1"/>
  <c r="E9" i="33"/>
  <c r="AO285" i="17" s="1"/>
  <c r="E9" i="36"/>
  <c r="E9" i="31"/>
  <c r="E9" i="37"/>
  <c r="AY285" i="17" s="1"/>
  <c r="H29" i="33"/>
  <c r="L48" i="33"/>
  <c r="M29" i="33"/>
  <c r="P29" i="33" s="1"/>
  <c r="L54" i="35"/>
  <c r="H35" i="35"/>
  <c r="M35" i="35"/>
  <c r="P35" i="35" s="1"/>
  <c r="L53" i="34"/>
  <c r="Q53" i="34" s="1"/>
  <c r="L63" i="32"/>
  <c r="H44" i="32"/>
  <c r="M44" i="32"/>
  <c r="AJ299" i="17"/>
  <c r="AO308" i="17"/>
  <c r="L48" i="36"/>
  <c r="H29" i="36"/>
  <c r="M29" i="36"/>
  <c r="P29" i="36" s="1"/>
  <c r="E12" i="32"/>
  <c r="E12" i="31"/>
  <c r="E12" i="35"/>
  <c r="E12" i="36"/>
  <c r="E12" i="33"/>
  <c r="AO288" i="17" s="1"/>
  <c r="E12" i="37"/>
  <c r="AY288" i="17" s="1"/>
  <c r="E12" i="34"/>
  <c r="AT288" i="17" s="1"/>
  <c r="Q53" i="37"/>
  <c r="AQ6" i="17"/>
  <c r="AP4" i="17"/>
  <c r="AO122" i="17"/>
  <c r="AP122" i="17"/>
  <c r="AQ122" i="17"/>
  <c r="AO4" i="17"/>
  <c r="AO6" i="17"/>
  <c r="AQ4" i="17"/>
  <c r="AP6" i="17"/>
  <c r="AN6" i="17"/>
  <c r="AN4" i="17"/>
  <c r="AN122" i="17"/>
  <c r="AZ122" i="17" l="1"/>
  <c r="AZ128" i="17" s="1"/>
  <c r="AS6" i="17"/>
  <c r="AU6" i="17" s="1"/>
  <c r="AT6" i="17"/>
  <c r="AV6" i="17" s="1"/>
  <c r="AS4" i="17"/>
  <c r="AU4" i="17" s="1"/>
  <c r="AT4" i="17"/>
  <c r="AV4" i="17" s="1"/>
  <c r="AY122" i="17"/>
  <c r="AY128" i="17" s="1"/>
  <c r="AX122" i="17"/>
  <c r="AX128" i="17" s="1"/>
  <c r="AW122" i="17"/>
  <c r="AW128" i="17" s="1"/>
  <c r="R34" i="32"/>
  <c r="R34" i="37"/>
  <c r="R34" i="33"/>
  <c r="R34" i="35"/>
  <c r="R34" i="31"/>
  <c r="R34" i="34"/>
  <c r="R34" i="36"/>
  <c r="R34" i="1"/>
  <c r="R14" i="32"/>
  <c r="Q14" i="32"/>
  <c r="R23" i="35"/>
  <c r="Q23" i="35"/>
  <c r="R8" i="31"/>
  <c r="Q8" i="31"/>
  <c r="R18" i="33"/>
  <c r="Q18" i="33"/>
  <c r="R22" i="33"/>
  <c r="Q22" i="33"/>
  <c r="R15" i="31"/>
  <c r="Q15" i="31"/>
  <c r="R20" i="32"/>
  <c r="Q20" i="32"/>
  <c r="R20" i="31"/>
  <c r="Q20" i="31"/>
  <c r="R19" i="32"/>
  <c r="Q19" i="32"/>
  <c r="R23" i="32"/>
  <c r="Q23" i="32"/>
  <c r="R18" i="31"/>
  <c r="Q18" i="31"/>
  <c r="R22" i="31"/>
  <c r="Q22" i="31"/>
  <c r="R8" i="32"/>
  <c r="Q8" i="32"/>
  <c r="R14" i="31"/>
  <c r="Q14" i="31"/>
  <c r="R15" i="33"/>
  <c r="Q15" i="33"/>
  <c r="R8" i="33"/>
  <c r="Q8" i="33"/>
  <c r="R17" i="31"/>
  <c r="Q17" i="31"/>
  <c r="R19" i="31"/>
  <c r="Q19" i="31"/>
  <c r="R18" i="32"/>
  <c r="Q18" i="32"/>
  <c r="R8" i="37"/>
  <c r="Q8" i="37"/>
  <c r="R23" i="31"/>
  <c r="Q23" i="31"/>
  <c r="R8" i="36"/>
  <c r="Q8" i="36"/>
  <c r="R16" i="31"/>
  <c r="Q16" i="31"/>
  <c r="R15" i="32"/>
  <c r="Q15" i="32"/>
  <c r="R21" i="33"/>
  <c r="Q21" i="33"/>
  <c r="R23" i="33"/>
  <c r="Q23" i="33"/>
  <c r="R16" i="32"/>
  <c r="Q16" i="32"/>
  <c r="R14" i="33"/>
  <c r="Q14" i="33"/>
  <c r="R22" i="32"/>
  <c r="Q22" i="32"/>
  <c r="R16" i="33"/>
  <c r="Q16" i="33"/>
  <c r="R17" i="33"/>
  <c r="Q17" i="33"/>
  <c r="R21" i="32"/>
  <c r="Q21" i="32"/>
  <c r="R23" i="37"/>
  <c r="Q23" i="37"/>
  <c r="R21" i="31"/>
  <c r="Q21" i="31"/>
  <c r="R17" i="32"/>
  <c r="Q17" i="32"/>
  <c r="R20" i="33"/>
  <c r="Q20" i="33"/>
  <c r="R23" i="36"/>
  <c r="Q23" i="36"/>
  <c r="R19" i="33"/>
  <c r="Q19" i="33"/>
  <c r="I11" i="35"/>
  <c r="H11" i="35"/>
  <c r="J11" i="35" s="1"/>
  <c r="I11" i="37"/>
  <c r="H11" i="37"/>
  <c r="J11" i="37" s="1"/>
  <c r="H12" i="36"/>
  <c r="J12" i="36" s="1"/>
  <c r="I12" i="36"/>
  <c r="I10" i="36"/>
  <c r="H10" i="36"/>
  <c r="J10" i="36" s="1"/>
  <c r="H11" i="34"/>
  <c r="J11" i="34" s="1"/>
  <c r="I11" i="34"/>
  <c r="I12" i="37"/>
  <c r="H12" i="37"/>
  <c r="J12" i="37" s="1"/>
  <c r="I9" i="37"/>
  <c r="H9" i="37"/>
  <c r="J9" i="37" s="1"/>
  <c r="H10" i="35"/>
  <c r="J10" i="35" s="1"/>
  <c r="I10" i="35"/>
  <c r="I12" i="31"/>
  <c r="H12" i="31"/>
  <c r="J12" i="31" s="1"/>
  <c r="H12" i="32"/>
  <c r="J12" i="32" s="1"/>
  <c r="I12" i="32"/>
  <c r="I9" i="36"/>
  <c r="H9" i="36"/>
  <c r="J9" i="36" s="1"/>
  <c r="I10" i="33"/>
  <c r="H10" i="33"/>
  <c r="J10" i="33" s="1"/>
  <c r="H11" i="36"/>
  <c r="J11" i="36" s="1"/>
  <c r="I11" i="36"/>
  <c r="H12" i="33"/>
  <c r="J12" i="33" s="1"/>
  <c r="I12" i="33"/>
  <c r="H12" i="35"/>
  <c r="J12" i="35" s="1"/>
  <c r="I12" i="35"/>
  <c r="H9" i="33"/>
  <c r="J9" i="33" s="1"/>
  <c r="I9" i="33"/>
  <c r="I10" i="31"/>
  <c r="H10" i="31"/>
  <c r="J10" i="31" s="1"/>
  <c r="I11" i="33"/>
  <c r="H11" i="33"/>
  <c r="J11" i="33" s="1"/>
  <c r="H9" i="32"/>
  <c r="J9" i="32" s="1"/>
  <c r="I9" i="32"/>
  <c r="H10" i="34"/>
  <c r="J10" i="34" s="1"/>
  <c r="I10" i="34"/>
  <c r="I9" i="35"/>
  <c r="H9" i="35"/>
  <c r="J9" i="35" s="1"/>
  <c r="H11" i="31"/>
  <c r="J11" i="31" s="1"/>
  <c r="I11" i="31"/>
  <c r="H9" i="31"/>
  <c r="J9" i="31" s="1"/>
  <c r="I9" i="31"/>
  <c r="I10" i="37"/>
  <c r="H10" i="37"/>
  <c r="J10" i="37" s="1"/>
  <c r="H11" i="32"/>
  <c r="J11" i="32" s="1"/>
  <c r="I11" i="32"/>
  <c r="H12" i="34"/>
  <c r="J12" i="34" s="1"/>
  <c r="I12" i="34"/>
  <c r="I9" i="34"/>
  <c r="H9" i="34"/>
  <c r="J9" i="34" s="1"/>
  <c r="I10" i="32"/>
  <c r="H10" i="32"/>
  <c r="J10" i="32" s="1"/>
  <c r="M35" i="34"/>
  <c r="P35" i="34" s="1"/>
  <c r="H35" i="34"/>
  <c r="M35" i="36"/>
  <c r="P35" i="36" s="1"/>
  <c r="H35" i="36"/>
  <c r="H35" i="1"/>
  <c r="M35" i="37"/>
  <c r="P35" i="37" s="1"/>
  <c r="M35" i="1"/>
  <c r="P35" i="1" s="1"/>
  <c r="M35" i="33"/>
  <c r="P35" i="33" s="1"/>
  <c r="H35" i="37"/>
  <c r="H35" i="33"/>
  <c r="E36" i="33"/>
  <c r="E36" i="35"/>
  <c r="C292" i="2"/>
  <c r="E36" i="1"/>
  <c r="E36" i="36"/>
  <c r="E36" i="34"/>
  <c r="E36" i="31"/>
  <c r="E36" i="37"/>
  <c r="E36" i="32"/>
  <c r="M35" i="31"/>
  <c r="P35" i="31" s="1"/>
  <c r="H35" i="31"/>
  <c r="Q48" i="37"/>
  <c r="AY312" i="17"/>
  <c r="AT312" i="17"/>
  <c r="AQ53" i="17"/>
  <c r="AQ52" i="17"/>
  <c r="AQ54" i="17"/>
  <c r="AP68" i="17"/>
  <c r="AP69" i="17"/>
  <c r="AP70" i="17"/>
  <c r="AP53" i="17"/>
  <c r="AP52" i="17"/>
  <c r="AP54" i="17"/>
  <c r="AL53" i="17"/>
  <c r="AL52" i="17"/>
  <c r="AL54" i="17"/>
  <c r="AO68" i="17"/>
  <c r="AO69" i="17"/>
  <c r="AO70" i="17"/>
  <c r="AK70" i="17"/>
  <c r="AK68" i="17"/>
  <c r="AK69" i="17"/>
  <c r="AM54" i="17"/>
  <c r="AM52" i="17"/>
  <c r="AM53" i="17"/>
  <c r="AK54" i="17"/>
  <c r="AK53" i="17"/>
  <c r="AK52" i="17"/>
  <c r="AL68" i="17"/>
  <c r="AL69" i="17"/>
  <c r="AL70" i="17"/>
  <c r="AQ70" i="17"/>
  <c r="AQ69" i="17"/>
  <c r="AQ68" i="17"/>
  <c r="AM69" i="17"/>
  <c r="AM68" i="17"/>
  <c r="AM70" i="17"/>
  <c r="AY318" i="17"/>
  <c r="Q48" i="32"/>
  <c r="AO310" i="17"/>
  <c r="AT309" i="17"/>
  <c r="Q48" i="33"/>
  <c r="AY317" i="17"/>
  <c r="Q48" i="31"/>
  <c r="Q48" i="35"/>
  <c r="AO315" i="17"/>
  <c r="Q63" i="36"/>
  <c r="Q63" i="35"/>
  <c r="Q63" i="31"/>
  <c r="Q63" i="33"/>
  <c r="AY310" i="17"/>
  <c r="Q54" i="35"/>
  <c r="Q54" i="31"/>
  <c r="Q63" i="34"/>
  <c r="AO313" i="17"/>
  <c r="Q63" i="37"/>
  <c r="AT314" i="17"/>
  <c r="AT313" i="17"/>
  <c r="AO314" i="17"/>
  <c r="AT315" i="17"/>
  <c r="AY314" i="17"/>
  <c r="Q48" i="34"/>
  <c r="AY315" i="17"/>
  <c r="AT317" i="17"/>
  <c r="AN11" i="17"/>
  <c r="AQ11" i="17"/>
  <c r="AP11" i="17"/>
  <c r="AK11" i="17"/>
  <c r="AO11" i="17"/>
  <c r="AL11" i="17"/>
  <c r="AM11" i="17"/>
  <c r="Q54" i="32"/>
  <c r="Q54" i="34"/>
  <c r="Q54" i="33"/>
  <c r="Q54" i="36"/>
  <c r="Q48" i="36"/>
  <c r="Q54" i="37"/>
  <c r="P44" i="34"/>
  <c r="Q63" i="32"/>
  <c r="L49" i="34"/>
  <c r="H30" i="34"/>
  <c r="M30" i="34"/>
  <c r="P30" i="34" s="1"/>
  <c r="P44" i="35"/>
  <c r="AT303" i="17"/>
  <c r="L49" i="1"/>
  <c r="H30" i="1"/>
  <c r="M30" i="1"/>
  <c r="P30" i="1" s="1"/>
  <c r="AO317" i="17"/>
  <c r="L49" i="33"/>
  <c r="H30" i="33"/>
  <c r="M30" i="33"/>
  <c r="P30" i="33" s="1"/>
  <c r="P44" i="31"/>
  <c r="AO318" i="17"/>
  <c r="AJ286" i="17"/>
  <c r="AO312" i="17"/>
  <c r="AO316" i="17"/>
  <c r="AT310" i="17"/>
  <c r="L49" i="32"/>
  <c r="H30" i="32"/>
  <c r="M30" i="32"/>
  <c r="P30" i="32" s="1"/>
  <c r="P44" i="32"/>
  <c r="AO303" i="17"/>
  <c r="AT316" i="17"/>
  <c r="L49" i="36"/>
  <c r="H30" i="36"/>
  <c r="M30" i="36"/>
  <c r="P30" i="36" s="1"/>
  <c r="AY303" i="17"/>
  <c r="AY311" i="17"/>
  <c r="P44" i="33"/>
  <c r="AY313" i="17"/>
  <c r="P44" i="1"/>
  <c r="AJ287" i="17"/>
  <c r="P44" i="36"/>
  <c r="AT311" i="17"/>
  <c r="L49" i="37"/>
  <c r="H30" i="37"/>
  <c r="M30" i="37"/>
  <c r="P30" i="37" s="1"/>
  <c r="AY309" i="17"/>
  <c r="AJ288" i="17"/>
  <c r="AY316" i="17"/>
  <c r="AJ285" i="17"/>
  <c r="L49" i="31"/>
  <c r="H30" i="31"/>
  <c r="M30" i="31"/>
  <c r="P30" i="31" s="1"/>
  <c r="H30" i="35"/>
  <c r="L49" i="35"/>
  <c r="M30" i="35"/>
  <c r="P30" i="35" s="1"/>
  <c r="AT318" i="17"/>
  <c r="AO311" i="17"/>
  <c r="AO309" i="17"/>
  <c r="AP31" i="17"/>
  <c r="AL31" i="17"/>
  <c r="AO31" i="17"/>
  <c r="AM31" i="17"/>
  <c r="AN31" i="17"/>
  <c r="AQ31" i="17"/>
  <c r="AP123" i="17"/>
  <c r="AN123" i="17"/>
  <c r="AQ123" i="17"/>
  <c r="AO123" i="17"/>
  <c r="AK31" i="17"/>
  <c r="AZ123" i="17" l="1"/>
  <c r="AZ129" i="17" s="1"/>
  <c r="AY123" i="17"/>
  <c r="AY129" i="17" s="1"/>
  <c r="AX123" i="17"/>
  <c r="AX129" i="17" s="1"/>
  <c r="AW123" i="17"/>
  <c r="AW129" i="17" s="1"/>
  <c r="AJ126" i="17"/>
  <c r="R44" i="32"/>
  <c r="R44" i="35"/>
  <c r="R44" i="34"/>
  <c r="R44" i="36"/>
  <c r="R44" i="33"/>
  <c r="R44" i="31"/>
  <c r="R44" i="1"/>
  <c r="R9" i="31"/>
  <c r="Q9" i="31"/>
  <c r="R9" i="32"/>
  <c r="Q9" i="32"/>
  <c r="R11" i="33"/>
  <c r="Q11" i="33"/>
  <c r="R12" i="33"/>
  <c r="Q12" i="33"/>
  <c r="R10" i="31"/>
  <c r="Q10" i="31"/>
  <c r="R11" i="32"/>
  <c r="Q11" i="32"/>
  <c r="R11" i="31"/>
  <c r="Q11" i="31"/>
  <c r="R12" i="32"/>
  <c r="Q12" i="32"/>
  <c r="R10" i="32"/>
  <c r="Q10" i="32"/>
  <c r="R10" i="33"/>
  <c r="Q10" i="33"/>
  <c r="R12" i="31"/>
  <c r="Q12" i="31"/>
  <c r="R9" i="33"/>
  <c r="Q9" i="33"/>
  <c r="AJ150" i="17"/>
  <c r="C55" i="31"/>
  <c r="L55" i="31" s="1"/>
  <c r="M36" i="31"/>
  <c r="H36" i="31"/>
  <c r="C55" i="34"/>
  <c r="L55" i="34" s="1"/>
  <c r="H36" i="34"/>
  <c r="M36" i="34"/>
  <c r="C55" i="36"/>
  <c r="L55" i="36" s="1"/>
  <c r="M36" i="36"/>
  <c r="H36" i="36"/>
  <c r="C55" i="35"/>
  <c r="L55" i="35" s="1"/>
  <c r="H36" i="35"/>
  <c r="M36" i="35"/>
  <c r="C55" i="32"/>
  <c r="L55" i="32" s="1"/>
  <c r="H36" i="32"/>
  <c r="M36" i="32"/>
  <c r="C55" i="33"/>
  <c r="L55" i="33" s="1"/>
  <c r="M36" i="33"/>
  <c r="H36" i="33"/>
  <c r="C55" i="1"/>
  <c r="L55" i="1" s="1"/>
  <c r="M36" i="1"/>
  <c r="H36" i="1"/>
  <c r="E37" i="37"/>
  <c r="E37" i="33"/>
  <c r="E37" i="36"/>
  <c r="C293" i="2"/>
  <c r="E37" i="32"/>
  <c r="E37" i="34"/>
  <c r="E37" i="35"/>
  <c r="E37" i="1"/>
  <c r="E37" i="31"/>
  <c r="C55" i="37"/>
  <c r="L55" i="37" s="1"/>
  <c r="H36" i="37"/>
  <c r="M36" i="37"/>
  <c r="E31" i="35"/>
  <c r="E31" i="33"/>
  <c r="E31" i="31"/>
  <c r="E31" i="34"/>
  <c r="E31" i="32"/>
  <c r="E31" i="36"/>
  <c r="E31" i="37"/>
  <c r="E31" i="1"/>
  <c r="AT307" i="17"/>
  <c r="Q49" i="33"/>
  <c r="Q49" i="31"/>
  <c r="Q49" i="37"/>
  <c r="Q49" i="35"/>
  <c r="Q49" i="34"/>
  <c r="Q49" i="36"/>
  <c r="Q49" i="32"/>
  <c r="AO304" i="17"/>
  <c r="AY305" i="17"/>
  <c r="AT305" i="17"/>
  <c r="AT304" i="17"/>
  <c r="AO305" i="17"/>
  <c r="AY304" i="17"/>
  <c r="AY306" i="17"/>
  <c r="AO307" i="17"/>
  <c r="AO306" i="17"/>
  <c r="AY307" i="17"/>
  <c r="AT306" i="17"/>
  <c r="AM10" i="17" l="1"/>
  <c r="AK10" i="17"/>
  <c r="AP10" i="17"/>
  <c r="AQ10" i="17"/>
  <c r="AL10" i="17"/>
  <c r="AN10" i="17"/>
  <c r="AO10" i="17"/>
  <c r="P36" i="31"/>
  <c r="P36" i="33"/>
  <c r="P36" i="32"/>
  <c r="P36" i="37"/>
  <c r="P36" i="36"/>
  <c r="P36" i="34"/>
  <c r="P36" i="1"/>
  <c r="P36" i="35"/>
  <c r="Q55" i="32"/>
  <c r="Q55" i="34"/>
  <c r="Q55" i="37"/>
  <c r="Q55" i="33"/>
  <c r="Q55" i="36"/>
  <c r="Q55" i="35"/>
  <c r="C50" i="32"/>
  <c r="H31" i="32"/>
  <c r="M31" i="32"/>
  <c r="P31" i="32" s="1"/>
  <c r="C56" i="31"/>
  <c r="L56" i="31" s="1"/>
  <c r="H37" i="31"/>
  <c r="M37" i="31"/>
  <c r="P37" i="31" s="1"/>
  <c r="C56" i="37"/>
  <c r="L56" i="37" s="1"/>
  <c r="M37" i="37"/>
  <c r="P37" i="37" s="1"/>
  <c r="H37" i="37"/>
  <c r="C50" i="34"/>
  <c r="M31" i="34"/>
  <c r="P31" i="34" s="1"/>
  <c r="H31" i="34"/>
  <c r="C56" i="1"/>
  <c r="L56" i="1" s="1"/>
  <c r="M37" i="1"/>
  <c r="P37" i="1" s="1"/>
  <c r="H37" i="1"/>
  <c r="E32" i="35"/>
  <c r="E32" i="37"/>
  <c r="E32" i="33"/>
  <c r="E32" i="1"/>
  <c r="E32" i="31"/>
  <c r="E32" i="32"/>
  <c r="E32" i="34"/>
  <c r="E32" i="36"/>
  <c r="C56" i="35"/>
  <c r="L56" i="35" s="1"/>
  <c r="M37" i="35"/>
  <c r="P37" i="35" s="1"/>
  <c r="H37" i="35"/>
  <c r="C50" i="33"/>
  <c r="M31" i="33"/>
  <c r="P31" i="33" s="1"/>
  <c r="H31" i="33"/>
  <c r="C56" i="34"/>
  <c r="L56" i="34" s="1"/>
  <c r="H37" i="34"/>
  <c r="M37" i="34"/>
  <c r="P37" i="34" s="1"/>
  <c r="C50" i="35"/>
  <c r="H31" i="35"/>
  <c r="M31" i="35"/>
  <c r="P31" i="35" s="1"/>
  <c r="C56" i="32"/>
  <c r="L56" i="32" s="1"/>
  <c r="M37" i="32"/>
  <c r="P37" i="32" s="1"/>
  <c r="H37" i="32"/>
  <c r="C50" i="36"/>
  <c r="M31" i="36"/>
  <c r="P31" i="36" s="1"/>
  <c r="H31" i="36"/>
  <c r="C50" i="1"/>
  <c r="H31" i="1"/>
  <c r="M31" i="1"/>
  <c r="P31" i="1" s="1"/>
  <c r="C294" i="2"/>
  <c r="E38" i="31"/>
  <c r="E38" i="35"/>
  <c r="E38" i="34"/>
  <c r="E38" i="37"/>
  <c r="E38" i="33"/>
  <c r="E38" i="1"/>
  <c r="E38" i="32"/>
  <c r="E38" i="36"/>
  <c r="C56" i="33"/>
  <c r="L56" i="33" s="1"/>
  <c r="H37" i="33"/>
  <c r="M37" i="33"/>
  <c r="P37" i="33" s="1"/>
  <c r="C50" i="31"/>
  <c r="M31" i="31"/>
  <c r="P31" i="31" s="1"/>
  <c r="H31" i="31"/>
  <c r="C50" i="37"/>
  <c r="H31" i="37"/>
  <c r="M31" i="37"/>
  <c r="P31" i="37" s="1"/>
  <c r="C56" i="36"/>
  <c r="L56" i="36" s="1"/>
  <c r="H37" i="36"/>
  <c r="M37" i="36"/>
  <c r="P37" i="36" s="1"/>
  <c r="Q55" i="31"/>
  <c r="AK9" i="17" l="1"/>
  <c r="AO9" i="17"/>
  <c r="AQ9" i="17"/>
  <c r="AM9" i="17"/>
  <c r="AL9" i="17"/>
  <c r="AP9" i="17"/>
  <c r="AJ125" i="17"/>
  <c r="AN9" i="17"/>
  <c r="AM137" i="17"/>
  <c r="AO137" i="17"/>
  <c r="AL137" i="17"/>
  <c r="AJ137" i="17"/>
  <c r="AK137" i="17"/>
  <c r="AP137" i="17"/>
  <c r="AN137" i="17"/>
  <c r="AQ137" i="17"/>
  <c r="L50" i="33"/>
  <c r="L50" i="35"/>
  <c r="L50" i="32"/>
  <c r="L50" i="1"/>
  <c r="L50" i="31"/>
  <c r="Q50" i="31" s="1"/>
  <c r="L50" i="36"/>
  <c r="L50" i="34"/>
  <c r="L50" i="37"/>
  <c r="Q50" i="37" s="1"/>
  <c r="Q56" i="36"/>
  <c r="C57" i="35"/>
  <c r="L57" i="35" s="1"/>
  <c r="H38" i="35"/>
  <c r="M38" i="35"/>
  <c r="P38" i="35" s="1"/>
  <c r="Q56" i="35"/>
  <c r="C51" i="35"/>
  <c r="L51" i="35" s="1"/>
  <c r="H32" i="35"/>
  <c r="M32" i="35"/>
  <c r="P32" i="35" s="1"/>
  <c r="Q56" i="33"/>
  <c r="C57" i="31"/>
  <c r="L57" i="31" s="1"/>
  <c r="H38" i="31"/>
  <c r="M38" i="31"/>
  <c r="P38" i="31" s="1"/>
  <c r="C51" i="36"/>
  <c r="L51" i="36" s="1"/>
  <c r="H32" i="36"/>
  <c r="M32" i="36"/>
  <c r="P32" i="36" s="1"/>
  <c r="Q56" i="37"/>
  <c r="C57" i="36"/>
  <c r="L57" i="36" s="1"/>
  <c r="H38" i="36"/>
  <c r="M38" i="36"/>
  <c r="P38" i="36" s="1"/>
  <c r="E33" i="35"/>
  <c r="E33" i="31"/>
  <c r="E33" i="36"/>
  <c r="E33" i="1"/>
  <c r="E33" i="33"/>
  <c r="E33" i="34"/>
  <c r="E33" i="32"/>
  <c r="E33" i="37"/>
  <c r="Q56" i="34"/>
  <c r="C51" i="34"/>
  <c r="L51" i="34" s="1"/>
  <c r="H32" i="34"/>
  <c r="M32" i="34"/>
  <c r="P32" i="34" s="1"/>
  <c r="C295" i="2"/>
  <c r="E39" i="31"/>
  <c r="E39" i="33"/>
  <c r="E39" i="32"/>
  <c r="E39" i="34"/>
  <c r="E39" i="35"/>
  <c r="E39" i="37"/>
  <c r="E39" i="36"/>
  <c r="E39" i="1"/>
  <c r="C51" i="32"/>
  <c r="L51" i="32" s="1"/>
  <c r="H32" i="32"/>
  <c r="M32" i="32"/>
  <c r="P32" i="32" s="1"/>
  <c r="C51" i="31"/>
  <c r="L51" i="31" s="1"/>
  <c r="H32" i="31"/>
  <c r="M32" i="31"/>
  <c r="P32" i="31" s="1"/>
  <c r="C57" i="32"/>
  <c r="L57" i="32" s="1"/>
  <c r="M38" i="32"/>
  <c r="P38" i="32" s="1"/>
  <c r="H38" i="32"/>
  <c r="C57" i="1"/>
  <c r="L57" i="1" s="1"/>
  <c r="H38" i="1"/>
  <c r="M38" i="1"/>
  <c r="P38" i="1" s="1"/>
  <c r="Q56" i="32"/>
  <c r="Q56" i="31"/>
  <c r="C57" i="33"/>
  <c r="L57" i="33" s="1"/>
  <c r="H38" i="33"/>
  <c r="M38" i="33"/>
  <c r="P38" i="33" s="1"/>
  <c r="C51" i="1"/>
  <c r="L51" i="1" s="1"/>
  <c r="H32" i="1"/>
  <c r="M32" i="1"/>
  <c r="P32" i="1" s="1"/>
  <c r="C57" i="37"/>
  <c r="L57" i="37" s="1"/>
  <c r="H38" i="37"/>
  <c r="M38" i="37"/>
  <c r="P38" i="37" s="1"/>
  <c r="C51" i="33"/>
  <c r="L51" i="33" s="1"/>
  <c r="H32" i="33"/>
  <c r="M32" i="33"/>
  <c r="P32" i="33" s="1"/>
  <c r="C57" i="34"/>
  <c r="L57" i="34" s="1"/>
  <c r="H38" i="34"/>
  <c r="M38" i="34"/>
  <c r="P38" i="34" s="1"/>
  <c r="C51" i="37"/>
  <c r="L51" i="37" s="1"/>
  <c r="M32" i="37"/>
  <c r="P32" i="37" s="1"/>
  <c r="H32" i="37"/>
  <c r="AK21" i="17"/>
  <c r="AM21" i="17"/>
  <c r="AP21" i="17"/>
  <c r="AN21" i="17"/>
  <c r="AL21" i="17"/>
  <c r="AQ21" i="17"/>
  <c r="AO21" i="17"/>
  <c r="Q50" i="33" l="1"/>
  <c r="Q50" i="34"/>
  <c r="Q50" i="36"/>
  <c r="Q50" i="32"/>
  <c r="Q50" i="35"/>
  <c r="AO125" i="17"/>
  <c r="AO149" i="17"/>
  <c r="AP125" i="17"/>
  <c r="AP149" i="17"/>
  <c r="AQ125" i="17"/>
  <c r="AQ149" i="17"/>
  <c r="AL125" i="17"/>
  <c r="AL149" i="17"/>
  <c r="AN125" i="17"/>
  <c r="AN149" i="17"/>
  <c r="AK125" i="17"/>
  <c r="AK149" i="17"/>
  <c r="AM125" i="17"/>
  <c r="AM149" i="17"/>
  <c r="Q51" i="37"/>
  <c r="Q51" i="33"/>
  <c r="Q57" i="33"/>
  <c r="Q57" i="32"/>
  <c r="Q57" i="34"/>
  <c r="Q51" i="31"/>
  <c r="Q51" i="32"/>
  <c r="Q57" i="36"/>
  <c r="C58" i="33"/>
  <c r="L58" i="33" s="1"/>
  <c r="H39" i="33"/>
  <c r="M39" i="33"/>
  <c r="P39" i="33" s="1"/>
  <c r="C52" i="32"/>
  <c r="L52" i="32" s="1"/>
  <c r="M33" i="32"/>
  <c r="P33" i="32" s="1"/>
  <c r="H33" i="32"/>
  <c r="Q57" i="31"/>
  <c r="Q57" i="35"/>
  <c r="C58" i="32"/>
  <c r="L58" i="32" s="1"/>
  <c r="M39" i="32"/>
  <c r="P39" i="32" s="1"/>
  <c r="H39" i="32"/>
  <c r="C296" i="2"/>
  <c r="E40" i="32"/>
  <c r="E40" i="34"/>
  <c r="E40" i="35"/>
  <c r="E40" i="36"/>
  <c r="E40" i="37"/>
  <c r="E40" i="1"/>
  <c r="E40" i="31"/>
  <c r="E40" i="33"/>
  <c r="C58" i="34"/>
  <c r="L58" i="34" s="1"/>
  <c r="H39" i="34"/>
  <c r="M39" i="34"/>
  <c r="P39" i="34" s="1"/>
  <c r="C52" i="35"/>
  <c r="L52" i="35" s="1"/>
  <c r="M33" i="35"/>
  <c r="P33" i="35" s="1"/>
  <c r="H33" i="35"/>
  <c r="C58" i="31"/>
  <c r="L58" i="31" s="1"/>
  <c r="M39" i="31"/>
  <c r="P39" i="31" s="1"/>
  <c r="H39" i="31"/>
  <c r="C58" i="1"/>
  <c r="L58" i="1" s="1"/>
  <c r="H39" i="1"/>
  <c r="M39" i="1"/>
  <c r="P39" i="1" s="1"/>
  <c r="C52" i="37"/>
  <c r="L52" i="37" s="1"/>
  <c r="H33" i="37"/>
  <c r="M33" i="37"/>
  <c r="P33" i="37" s="1"/>
  <c r="C52" i="34"/>
  <c r="L52" i="34" s="1"/>
  <c r="H33" i="34"/>
  <c r="M33" i="34"/>
  <c r="P33" i="34" s="1"/>
  <c r="C52" i="33"/>
  <c r="L52" i="33" s="1"/>
  <c r="H33" i="33"/>
  <c r="M33" i="33"/>
  <c r="P33" i="33" s="1"/>
  <c r="C58" i="36"/>
  <c r="L58" i="36" s="1"/>
  <c r="H39" i="36"/>
  <c r="M39" i="36"/>
  <c r="P39" i="36" s="1"/>
  <c r="C52" i="1"/>
  <c r="L52" i="1" s="1"/>
  <c r="H33" i="1"/>
  <c r="M33" i="1"/>
  <c r="P33" i="1" s="1"/>
  <c r="C58" i="37"/>
  <c r="L58" i="37" s="1"/>
  <c r="M39" i="37"/>
  <c r="P39" i="37" s="1"/>
  <c r="H39" i="37"/>
  <c r="C52" i="36"/>
  <c r="L52" i="36" s="1"/>
  <c r="H33" i="36"/>
  <c r="M33" i="36"/>
  <c r="P33" i="36" s="1"/>
  <c r="Q51" i="35"/>
  <c r="Q57" i="37"/>
  <c r="C58" i="35"/>
  <c r="L58" i="35" s="1"/>
  <c r="M39" i="35"/>
  <c r="P39" i="35" s="1"/>
  <c r="H39" i="35"/>
  <c r="Q51" i="34"/>
  <c r="C52" i="31"/>
  <c r="L52" i="31" s="1"/>
  <c r="M33" i="31"/>
  <c r="P33" i="31" s="1"/>
  <c r="H33" i="31"/>
  <c r="Q51" i="36"/>
  <c r="AK19" i="17"/>
  <c r="AO22" i="17"/>
  <c r="AP16" i="17"/>
  <c r="AL22" i="17"/>
  <c r="AO16" i="17"/>
  <c r="AL16" i="17"/>
  <c r="AQ16" i="17"/>
  <c r="AM16" i="17"/>
  <c r="AP22" i="17"/>
  <c r="AN16" i="17"/>
  <c r="AP19" i="17"/>
  <c r="AQ22" i="17"/>
  <c r="AK22" i="17"/>
  <c r="AL19" i="17"/>
  <c r="AK16" i="17"/>
  <c r="AO19" i="17"/>
  <c r="AN22" i="17"/>
  <c r="AN19" i="17"/>
  <c r="AQ19" i="17"/>
  <c r="AM19" i="17"/>
  <c r="AM22" i="17"/>
  <c r="Q58" i="36" l="1"/>
  <c r="Q52" i="37"/>
  <c r="Q52" i="35"/>
  <c r="Q52" i="33"/>
  <c r="Q52" i="31"/>
  <c r="Q52" i="34"/>
  <c r="Q52" i="32"/>
  <c r="Q58" i="32"/>
  <c r="Q58" i="33"/>
  <c r="C59" i="37"/>
  <c r="L59" i="37" s="1"/>
  <c r="H40" i="37"/>
  <c r="M40" i="37"/>
  <c r="P40" i="37" s="1"/>
  <c r="Q58" i="35"/>
  <c r="Q58" i="37"/>
  <c r="C59" i="36"/>
  <c r="L59" i="36" s="1"/>
  <c r="M40" i="36"/>
  <c r="P40" i="36" s="1"/>
  <c r="H40" i="36"/>
  <c r="C59" i="1"/>
  <c r="L59" i="1" s="1"/>
  <c r="H40" i="1"/>
  <c r="M40" i="1"/>
  <c r="P40" i="1" s="1"/>
  <c r="C59" i="34"/>
  <c r="L59" i="34" s="1"/>
  <c r="H40" i="34"/>
  <c r="M40" i="34"/>
  <c r="P40" i="34" s="1"/>
  <c r="Q58" i="34"/>
  <c r="C59" i="32"/>
  <c r="L59" i="32" s="1"/>
  <c r="H40" i="32"/>
  <c r="M40" i="32"/>
  <c r="P40" i="32" s="1"/>
  <c r="C59" i="35"/>
  <c r="L59" i="35" s="1"/>
  <c r="H40" i="35"/>
  <c r="M40" i="35"/>
  <c r="P40" i="35" s="1"/>
  <c r="C59" i="33"/>
  <c r="L59" i="33" s="1"/>
  <c r="H40" i="33"/>
  <c r="M40" i="33"/>
  <c r="P40" i="33" s="1"/>
  <c r="C297" i="2"/>
  <c r="E41" i="31"/>
  <c r="E41" i="32"/>
  <c r="E41" i="34"/>
  <c r="E41" i="35"/>
  <c r="E41" i="37"/>
  <c r="E41" i="33"/>
  <c r="E41" i="36"/>
  <c r="E41" i="1"/>
  <c r="Q52" i="36"/>
  <c r="Q58" i="31"/>
  <c r="C59" i="31"/>
  <c r="L59" i="31" s="1"/>
  <c r="H40" i="31"/>
  <c r="M40" i="31"/>
  <c r="P40" i="31" s="1"/>
  <c r="AQ18" i="17"/>
  <c r="AL17" i="17"/>
  <c r="AP17" i="17"/>
  <c r="AK17" i="17"/>
  <c r="AQ17" i="17"/>
  <c r="AM17" i="17"/>
  <c r="AP18" i="17"/>
  <c r="AN17" i="17"/>
  <c r="AN23" i="17"/>
  <c r="AO23" i="17"/>
  <c r="AQ23" i="17"/>
  <c r="AN18" i="17"/>
  <c r="AM18" i="17"/>
  <c r="AN20" i="17"/>
  <c r="AM23" i="17"/>
  <c r="AL18" i="17"/>
  <c r="AP23" i="17"/>
  <c r="AL20" i="17"/>
  <c r="AK18" i="17"/>
  <c r="AL23" i="17"/>
  <c r="AQ20" i="17"/>
  <c r="AM20" i="17"/>
  <c r="AK20" i="17"/>
  <c r="AO18" i="17"/>
  <c r="AP20" i="17"/>
  <c r="AO17" i="17"/>
  <c r="AK23" i="17"/>
  <c r="AO20" i="17"/>
  <c r="Q59" i="37" l="1"/>
  <c r="C60" i="36"/>
  <c r="M41" i="36"/>
  <c r="P41" i="36" s="1"/>
  <c r="H41" i="36"/>
  <c r="Q59" i="32"/>
  <c r="C60" i="33"/>
  <c r="M41" i="33"/>
  <c r="P41" i="33" s="1"/>
  <c r="H41" i="33"/>
  <c r="C298" i="2"/>
  <c r="E42" i="1"/>
  <c r="E42" i="35"/>
  <c r="E42" i="37"/>
  <c r="E42" i="31"/>
  <c r="E42" i="33"/>
  <c r="E42" i="32"/>
  <c r="E42" i="34"/>
  <c r="E42" i="36"/>
  <c r="Q59" i="33"/>
  <c r="Q59" i="36"/>
  <c r="C60" i="35"/>
  <c r="M41" i="35"/>
  <c r="P41" i="35" s="1"/>
  <c r="H41" i="35"/>
  <c r="C60" i="34"/>
  <c r="H41" i="34"/>
  <c r="M41" i="34"/>
  <c r="P41" i="34" s="1"/>
  <c r="C60" i="32"/>
  <c r="H41" i="32"/>
  <c r="M41" i="32"/>
  <c r="P41" i="32" s="1"/>
  <c r="Q59" i="35"/>
  <c r="C60" i="1"/>
  <c r="H41" i="1"/>
  <c r="M41" i="1"/>
  <c r="P41" i="1" s="1"/>
  <c r="C60" i="37"/>
  <c r="H41" i="37"/>
  <c r="M41" i="37"/>
  <c r="P41" i="37" s="1"/>
  <c r="Q59" i="31"/>
  <c r="Q59" i="34"/>
  <c r="C60" i="31"/>
  <c r="H41" i="31"/>
  <c r="M41" i="31"/>
  <c r="P41" i="31" s="1"/>
  <c r="AQ24" i="17"/>
  <c r="AN24" i="17"/>
  <c r="AO24" i="17"/>
  <c r="AL24" i="17"/>
  <c r="AK24" i="17"/>
  <c r="AP24" i="17"/>
  <c r="AM24" i="17"/>
  <c r="AN138" i="17" l="1"/>
  <c r="AK138" i="17"/>
  <c r="AO138" i="17"/>
  <c r="AL138" i="17"/>
  <c r="AP138" i="17"/>
  <c r="AJ138" i="17"/>
  <c r="AM138" i="17"/>
  <c r="AQ138" i="17"/>
  <c r="L60" i="34"/>
  <c r="L60" i="31"/>
  <c r="L60" i="35"/>
  <c r="L60" i="32"/>
  <c r="L60" i="36"/>
  <c r="L60" i="1"/>
  <c r="L60" i="33"/>
  <c r="Q60" i="33" s="1"/>
  <c r="L60" i="37"/>
  <c r="Q60" i="37" s="1"/>
  <c r="C61" i="37"/>
  <c r="L61" i="37" s="1"/>
  <c r="M42" i="37"/>
  <c r="P42" i="37" s="1"/>
  <c r="H42" i="37"/>
  <c r="C61" i="35"/>
  <c r="L61" i="35" s="1"/>
  <c r="H42" i="35"/>
  <c r="M42" i="35"/>
  <c r="P42" i="35" s="1"/>
  <c r="C61" i="1"/>
  <c r="L61" i="1" s="1"/>
  <c r="H42" i="1"/>
  <c r="M42" i="1"/>
  <c r="P42" i="1" s="1"/>
  <c r="C61" i="36"/>
  <c r="L61" i="36" s="1"/>
  <c r="M42" i="36"/>
  <c r="P42" i="36" s="1"/>
  <c r="H42" i="36"/>
  <c r="E43" i="35"/>
  <c r="E43" i="37"/>
  <c r="E43" i="33"/>
  <c r="E43" i="1"/>
  <c r="E43" i="32"/>
  <c r="E43" i="34"/>
  <c r="E43" i="36"/>
  <c r="E43" i="31"/>
  <c r="C61" i="33"/>
  <c r="L61" i="33" s="1"/>
  <c r="H42" i="33"/>
  <c r="M42" i="33"/>
  <c r="P42" i="33" s="1"/>
  <c r="C61" i="31"/>
  <c r="L61" i="31" s="1"/>
  <c r="H42" i="31"/>
  <c r="M42" i="31"/>
  <c r="P42" i="31" s="1"/>
  <c r="C61" i="34"/>
  <c r="L61" i="34" s="1"/>
  <c r="M42" i="34"/>
  <c r="P42" i="34" s="1"/>
  <c r="H42" i="34"/>
  <c r="C61" i="32"/>
  <c r="L61" i="32" s="1"/>
  <c r="M42" i="32"/>
  <c r="P42" i="32" s="1"/>
  <c r="H42" i="32"/>
  <c r="AM25" i="17"/>
  <c r="AQ25" i="17"/>
  <c r="Q60" i="31" l="1"/>
  <c r="Q60" i="32"/>
  <c r="Q60" i="35"/>
  <c r="AQ126" i="17"/>
  <c r="AQ150" i="17"/>
  <c r="AK126" i="17"/>
  <c r="AK150" i="17"/>
  <c r="AM126" i="17"/>
  <c r="AM150" i="17"/>
  <c r="AL126" i="17"/>
  <c r="AL150" i="17"/>
  <c r="AO126" i="17"/>
  <c r="AO150" i="17"/>
  <c r="Q60" i="36"/>
  <c r="Q60" i="34"/>
  <c r="Q61" i="33"/>
  <c r="Q61" i="37"/>
  <c r="C62" i="35"/>
  <c r="L62" i="35" s="1"/>
  <c r="M43" i="35"/>
  <c r="P43" i="35" s="1"/>
  <c r="H43" i="35"/>
  <c r="Q61" i="34"/>
  <c r="C62" i="31"/>
  <c r="L62" i="31" s="1"/>
  <c r="H43" i="31"/>
  <c r="M43" i="31"/>
  <c r="P43" i="31" s="1"/>
  <c r="C62" i="37"/>
  <c r="L62" i="37" s="1"/>
  <c r="H43" i="37"/>
  <c r="M43" i="37"/>
  <c r="P43" i="37" s="1"/>
  <c r="C62" i="36"/>
  <c r="L62" i="36" s="1"/>
  <c r="M43" i="36"/>
  <c r="P43" i="36" s="1"/>
  <c r="H43" i="36"/>
  <c r="C62" i="34"/>
  <c r="L62" i="34" s="1"/>
  <c r="H43" i="34"/>
  <c r="M43" i="34"/>
  <c r="P43" i="34" s="1"/>
  <c r="Q61" i="36"/>
  <c r="C62" i="32"/>
  <c r="L62" i="32" s="1"/>
  <c r="M43" i="32"/>
  <c r="P43" i="32" s="1"/>
  <c r="H43" i="32"/>
  <c r="Q61" i="35"/>
  <c r="Q61" i="32"/>
  <c r="Q61" i="31"/>
  <c r="C62" i="1"/>
  <c r="L62" i="1" s="1"/>
  <c r="M43" i="1"/>
  <c r="P43" i="1" s="1"/>
  <c r="H43" i="1"/>
  <c r="C62" i="33"/>
  <c r="L62" i="33" s="1"/>
  <c r="H43" i="33"/>
  <c r="M43" i="33"/>
  <c r="P43" i="33" s="1"/>
  <c r="AO26" i="17"/>
  <c r="AP29" i="17"/>
  <c r="AL29" i="17"/>
  <c r="AK26" i="17"/>
  <c r="AN29" i="17"/>
  <c r="AL26" i="17"/>
  <c r="AQ26" i="17"/>
  <c r="AL25" i="17"/>
  <c r="AN25" i="17"/>
  <c r="AO29" i="17"/>
  <c r="AQ29" i="17"/>
  <c r="AO25" i="17"/>
  <c r="AK25" i="17"/>
  <c r="AM26" i="17"/>
  <c r="AM29" i="17"/>
  <c r="AK29" i="17"/>
  <c r="AP26" i="17"/>
  <c r="AP25" i="17"/>
  <c r="AN26" i="17"/>
  <c r="AN126" i="17" l="1"/>
  <c r="AN150" i="17"/>
  <c r="AP126" i="17"/>
  <c r="AP150" i="17"/>
  <c r="Q62" i="32"/>
  <c r="Q62" i="34"/>
  <c r="Q62" i="35"/>
  <c r="Q62" i="37"/>
  <c r="Q62" i="31"/>
  <c r="Q62" i="33"/>
  <c r="Q62" i="36"/>
  <c r="AQ28" i="17"/>
  <c r="AP28" i="17"/>
  <c r="AL30" i="17"/>
  <c r="AM28" i="17"/>
  <c r="AP30" i="17"/>
  <c r="AK27" i="17"/>
  <c r="AM27" i="17"/>
  <c r="AN28" i="17"/>
  <c r="AL28" i="17"/>
  <c r="AQ27" i="17"/>
  <c r="AN27" i="17"/>
  <c r="AK28" i="17"/>
  <c r="AP27" i="17"/>
  <c r="AO30" i="17"/>
  <c r="AK30" i="17"/>
  <c r="AQ30" i="17"/>
  <c r="AM30" i="17"/>
  <c r="AL27" i="17"/>
  <c r="AO27" i="17"/>
  <c r="AN30" i="17"/>
  <c r="AO28" i="17"/>
  <c r="AL41" i="17" l="1"/>
  <c r="AO41" i="17"/>
  <c r="AN41" i="17"/>
  <c r="AK41" i="17"/>
  <c r="AP41" i="17"/>
  <c r="AM41" i="17"/>
  <c r="AQ41" i="17"/>
  <c r="AJ60" i="17" l="1"/>
  <c r="AJ62" i="17"/>
  <c r="AJ61" i="17"/>
  <c r="AJ54" i="17" l="1"/>
  <c r="AJ52" i="17"/>
  <c r="AO63" i="17"/>
  <c r="AM63" i="17"/>
  <c r="AL63" i="17"/>
  <c r="AP63" i="17"/>
  <c r="AK63" i="17"/>
  <c r="AQ63" i="17"/>
  <c r="AJ53" i="17"/>
  <c r="AJ69" i="17" l="1"/>
  <c r="AJ68" i="17"/>
  <c r="AP55" i="17"/>
  <c r="AQ55" i="17"/>
  <c r="AM55" i="17"/>
  <c r="AK55" i="17"/>
  <c r="AL55" i="17"/>
  <c r="AJ70" i="17"/>
  <c r="AQ71" i="17" l="1"/>
  <c r="AL71" i="17"/>
  <c r="AP71" i="17"/>
  <c r="AM71" i="17"/>
  <c r="AK71" i="17"/>
  <c r="AO71" i="17"/>
  <c r="F32" i="39" l="1"/>
  <c r="K13" i="34" l="1"/>
  <c r="F36" i="39"/>
  <c r="AU289" i="17"/>
  <c r="AU308" i="17" s="1"/>
  <c r="G32" i="39"/>
  <c r="Q13" i="34"/>
  <c r="R13" i="34"/>
  <c r="AN59" i="17"/>
  <c r="AN61" i="17" l="1"/>
  <c r="AR61" i="17" s="1"/>
  <c r="AN60" i="17"/>
  <c r="AN63" i="17" s="1"/>
  <c r="AN62" i="17"/>
  <c r="AR62" i="17" s="1"/>
  <c r="G36" i="39"/>
  <c r="K23" i="34"/>
  <c r="J16" i="39"/>
  <c r="K14" i="34" s="1"/>
  <c r="E31" i="39"/>
  <c r="E35" i="39" s="1"/>
  <c r="E32" i="39"/>
  <c r="AN67" i="17"/>
  <c r="E36" i="39" l="1"/>
  <c r="AN70" i="17"/>
  <c r="AR70" i="17" s="1"/>
  <c r="AN68" i="17"/>
  <c r="AN71" i="17" s="1"/>
  <c r="AN69" i="17"/>
  <c r="AR69" i="17" s="1"/>
  <c r="AU299" i="17"/>
  <c r="AU318" i="17" s="1"/>
  <c r="R23" i="34"/>
  <c r="Q23" i="34"/>
  <c r="J11" i="39"/>
  <c r="K16" i="39"/>
  <c r="L16" i="39"/>
  <c r="M16" i="39"/>
  <c r="Q14" i="34"/>
  <c r="AU290" i="17"/>
  <c r="AU309" i="17" s="1"/>
  <c r="R14" i="34"/>
  <c r="J17" i="39"/>
  <c r="J12" i="39" l="1"/>
  <c r="J13" i="39" s="1"/>
  <c r="J14" i="39" s="1"/>
  <c r="K9" i="34"/>
  <c r="K11" i="39"/>
  <c r="K12" i="39" s="1"/>
  <c r="K13" i="39" s="1"/>
  <c r="K14" i="39" s="1"/>
  <c r="K8" i="35"/>
  <c r="M17" i="39"/>
  <c r="K14" i="37"/>
  <c r="K17" i="39"/>
  <c r="K14" i="35"/>
  <c r="L17" i="39"/>
  <c r="K14" i="36"/>
  <c r="K8" i="34"/>
  <c r="AU284" i="17" s="1"/>
  <c r="AU303" i="17" s="1"/>
  <c r="K15" i="34"/>
  <c r="J18" i="39"/>
  <c r="AO51" i="17"/>
  <c r="AN51" i="17"/>
  <c r="AO54" i="17" l="1"/>
  <c r="AO52" i="17"/>
  <c r="AO55" i="17" s="1"/>
  <c r="AO53" i="17"/>
  <c r="Q8" i="35"/>
  <c r="R8" i="35"/>
  <c r="AZ290" i="17"/>
  <c r="AZ309" i="17" s="1"/>
  <c r="R14" i="37"/>
  <c r="Q14" i="37"/>
  <c r="K9" i="37"/>
  <c r="M18" i="39"/>
  <c r="K15" i="37"/>
  <c r="Q14" i="36"/>
  <c r="R14" i="36"/>
  <c r="L18" i="39"/>
  <c r="K15" i="36"/>
  <c r="R14" i="35"/>
  <c r="Q14" i="35"/>
  <c r="K18" i="39"/>
  <c r="K15" i="35"/>
  <c r="K9" i="35"/>
  <c r="K9" i="36"/>
  <c r="R8" i="34"/>
  <c r="AN52" i="17"/>
  <c r="AN55" i="17" s="1"/>
  <c r="AN54" i="17"/>
  <c r="AN53" i="17"/>
  <c r="Q8" i="34"/>
  <c r="K10" i="34"/>
  <c r="AU285" i="17"/>
  <c r="AU304" i="17" s="1"/>
  <c r="R9" i="34"/>
  <c r="Q9" i="34"/>
  <c r="K16" i="34"/>
  <c r="J19" i="39"/>
  <c r="AU291" i="17"/>
  <c r="AU310" i="17" s="1"/>
  <c r="Q15" i="34"/>
  <c r="R15" i="34"/>
  <c r="AR54" i="17" l="1"/>
  <c r="AR53" i="17"/>
  <c r="AZ291" i="17"/>
  <c r="AZ310" i="17" s="1"/>
  <c r="R15" i="37"/>
  <c r="Q15" i="37"/>
  <c r="M19" i="39"/>
  <c r="K16" i="37"/>
  <c r="K10" i="37"/>
  <c r="AZ285" i="17"/>
  <c r="AZ304" i="17" s="1"/>
  <c r="R9" i="37"/>
  <c r="Q9" i="37"/>
  <c r="K19" i="39"/>
  <c r="K16" i="35"/>
  <c r="R15" i="35"/>
  <c r="Q15" i="35"/>
  <c r="R15" i="36"/>
  <c r="Q15" i="36"/>
  <c r="L19" i="39"/>
  <c r="K16" i="36"/>
  <c r="K10" i="35"/>
  <c r="Q9" i="36"/>
  <c r="R9" i="36"/>
  <c r="K10" i="36"/>
  <c r="Q9" i="35"/>
  <c r="R9" i="35"/>
  <c r="K12" i="34"/>
  <c r="K11" i="34"/>
  <c r="AU286" i="17"/>
  <c r="AU305" i="17" s="1"/>
  <c r="R10" i="34"/>
  <c r="Q10" i="34"/>
  <c r="K17" i="34"/>
  <c r="J20" i="39"/>
  <c r="R16" i="34"/>
  <c r="AU292" i="17"/>
  <c r="AU311" i="17" s="1"/>
  <c r="Q16" i="34"/>
  <c r="AZ286" i="17" l="1"/>
  <c r="AZ305" i="17" s="1"/>
  <c r="Q10" i="37"/>
  <c r="R10" i="37"/>
  <c r="AZ292" i="17"/>
  <c r="AZ311" i="17" s="1"/>
  <c r="R16" i="37"/>
  <c r="Q16" i="37"/>
  <c r="M20" i="39"/>
  <c r="K17" i="37"/>
  <c r="K12" i="37"/>
  <c r="K11" i="37"/>
  <c r="Q16" i="36"/>
  <c r="R16" i="36"/>
  <c r="R16" i="35"/>
  <c r="Q16" i="35"/>
  <c r="L20" i="39"/>
  <c r="K17" i="36"/>
  <c r="K20" i="39"/>
  <c r="K17" i="35"/>
  <c r="K12" i="35"/>
  <c r="K11" i="35"/>
  <c r="Q10" i="36"/>
  <c r="R10" i="36"/>
  <c r="K12" i="36"/>
  <c r="K11" i="36"/>
  <c r="Q10" i="35"/>
  <c r="R10" i="35"/>
  <c r="R11" i="34"/>
  <c r="AU287" i="17"/>
  <c r="AU306" i="17" s="1"/>
  <c r="Q11" i="34"/>
  <c r="AU288" i="17"/>
  <c r="AU307" i="17" s="1"/>
  <c r="Q12" i="34"/>
  <c r="R12" i="34"/>
  <c r="K18" i="34"/>
  <c r="J21" i="39"/>
  <c r="AU293" i="17"/>
  <c r="AU312" i="17" s="1"/>
  <c r="R17" i="34"/>
  <c r="Q17" i="34"/>
  <c r="AZ293" i="17" l="1"/>
  <c r="AZ312" i="17" s="1"/>
  <c r="R17" i="37"/>
  <c r="Q17" i="37"/>
  <c r="M21" i="39"/>
  <c r="K18" i="37"/>
  <c r="AZ287" i="17"/>
  <c r="AZ306" i="17" s="1"/>
  <c r="R11" i="37"/>
  <c r="Q11" i="37"/>
  <c r="AZ288" i="17"/>
  <c r="AZ307" i="17" s="1"/>
  <c r="R12" i="37"/>
  <c r="Q12" i="37"/>
  <c r="K21" i="39"/>
  <c r="K18" i="35"/>
  <c r="R17" i="35"/>
  <c r="Q17" i="35"/>
  <c r="R17" i="36"/>
  <c r="Q17" i="36"/>
  <c r="L21" i="39"/>
  <c r="K18" i="36"/>
  <c r="R12" i="35"/>
  <c r="Q12" i="35"/>
  <c r="Q11" i="36"/>
  <c r="R11" i="36"/>
  <c r="Q12" i="36"/>
  <c r="R12" i="36"/>
  <c r="Q11" i="35"/>
  <c r="R11" i="35"/>
  <c r="K19" i="34"/>
  <c r="J22" i="39"/>
  <c r="R18" i="34"/>
  <c r="AU294" i="17"/>
  <c r="AU313" i="17" s="1"/>
  <c r="Q18" i="34"/>
  <c r="AZ294" i="17" l="1"/>
  <c r="AZ313" i="17" s="1"/>
  <c r="R18" i="37"/>
  <c r="Q18" i="37"/>
  <c r="M22" i="39"/>
  <c r="K19" i="37"/>
  <c r="R18" i="36"/>
  <c r="Q18" i="36"/>
  <c r="L22" i="39"/>
  <c r="K19" i="36"/>
  <c r="Q18" i="35"/>
  <c r="R18" i="35"/>
  <c r="K22" i="39"/>
  <c r="K19" i="35"/>
  <c r="K20" i="34"/>
  <c r="J23" i="39"/>
  <c r="AU295" i="17"/>
  <c r="AU314" i="17" s="1"/>
  <c r="Q19" i="34"/>
  <c r="R19" i="34"/>
  <c r="AZ295" i="17" l="1"/>
  <c r="AZ314" i="17" s="1"/>
  <c r="R19" i="37"/>
  <c r="Q19" i="37"/>
  <c r="M23" i="39"/>
  <c r="K20" i="37"/>
  <c r="L23" i="39"/>
  <c r="K20" i="36"/>
  <c r="R19" i="35"/>
  <c r="Q19" i="35"/>
  <c r="K23" i="39"/>
  <c r="K20" i="35"/>
  <c r="Q19" i="36"/>
  <c r="R19" i="36"/>
  <c r="K21" i="34"/>
  <c r="J24" i="39"/>
  <c r="K22" i="34" s="1"/>
  <c r="Q20" i="34"/>
  <c r="AU296" i="17"/>
  <c r="AU315" i="17" s="1"/>
  <c r="R20" i="34"/>
  <c r="AZ296" i="17" l="1"/>
  <c r="AZ315" i="17" s="1"/>
  <c r="R20" i="37"/>
  <c r="Q20" i="37"/>
  <c r="M24" i="39"/>
  <c r="K22" i="37" s="1"/>
  <c r="K21" i="37"/>
  <c r="R20" i="36"/>
  <c r="Q20" i="36"/>
  <c r="Q20" i="35"/>
  <c r="R20" i="35"/>
  <c r="K24" i="39"/>
  <c r="K22" i="35" s="1"/>
  <c r="K21" i="35"/>
  <c r="L24" i="39"/>
  <c r="K22" i="36" s="1"/>
  <c r="K21" i="36"/>
  <c r="Q22" i="34"/>
  <c r="R22" i="34"/>
  <c r="AU298" i="17"/>
  <c r="AU317" i="17" s="1"/>
  <c r="Q21" i="34"/>
  <c r="R21" i="34"/>
  <c r="AU297" i="17"/>
  <c r="AU316" i="17" s="1"/>
  <c r="AZ298" i="17" l="1"/>
  <c r="AZ317" i="17" s="1"/>
  <c r="Q22" i="37"/>
  <c r="R22" i="37"/>
  <c r="AZ297" i="17"/>
  <c r="AZ316" i="17" s="1"/>
  <c r="R21" i="37"/>
  <c r="Q21" i="37"/>
  <c r="R22" i="36"/>
  <c r="Q22" i="36"/>
  <c r="R21" i="35"/>
  <c r="Q21" i="35"/>
  <c r="R21" i="36"/>
  <c r="Q21" i="36"/>
  <c r="Q22" i="35"/>
  <c r="R22" i="35"/>
</calcChain>
</file>

<file path=xl/sharedStrings.xml><?xml version="1.0" encoding="utf-8"?>
<sst xmlns="http://schemas.openxmlformats.org/spreadsheetml/2006/main" count="2365" uniqueCount="640">
  <si>
    <t>Peak Hour</t>
  </si>
  <si>
    <t>Total</t>
  </si>
  <si>
    <t>Existing Pipeline Capacity</t>
  </si>
  <si>
    <t>Annual</t>
  </si>
  <si>
    <t>Reference Tables</t>
  </si>
  <si>
    <t>Source:</t>
  </si>
  <si>
    <t>Available at:</t>
  </si>
  <si>
    <t>Notes:</t>
  </si>
  <si>
    <t>Billion Btu</t>
  </si>
  <si>
    <t>MA</t>
  </si>
  <si>
    <t>Design Hour</t>
  </si>
  <si>
    <t>Hour</t>
  </si>
  <si>
    <t>Item</t>
  </si>
  <si>
    <t>Temporal Resolution</t>
  </si>
  <si>
    <t>Geographic Resolution</t>
  </si>
  <si>
    <t>Units</t>
  </si>
  <si>
    <t>Calculated from LDC Data</t>
  </si>
  <si>
    <t>G:\14-128 MA DOER Low Demand Scenario\Task 3. Modeling\LDC Data 20141105.xlsx</t>
  </si>
  <si>
    <t>Last updated 11/5/2014 by JMD</t>
  </si>
  <si>
    <t>Reconstituted Design Year Load</t>
  </si>
  <si>
    <t>Gas Reduction Measures</t>
  </si>
  <si>
    <t>MMBtu/Day</t>
  </si>
  <si>
    <t>Tennessee Gas Pipeline</t>
  </si>
  <si>
    <t xml:space="preserve">HOLYOKE/TGP HOLYOKE MA  2 HAMPDEN  </t>
  </si>
  <si>
    <t xml:space="preserve">WAKEFLD/TGP WAKEFIELD SALES ESSEX  </t>
  </si>
  <si>
    <t xml:space="preserve">WESTFLD/TGP WESTFIELD MA HAMPDEN   </t>
  </si>
  <si>
    <t>TOTAL MUNICIPAL GAS COMPANY CAPACITY</t>
  </si>
  <si>
    <t>G:\14-128 MA DOER Low Demand Scenario\Task 3. Modeling\Peak Day Capacity.xlsx</t>
  </si>
  <si>
    <t>MA capacity under contract to municipal gas companies</t>
  </si>
  <si>
    <t>N/A</t>
  </si>
  <si>
    <t>Eastern Interconnection Planning Collaborative Draft Gas-Electric Interface Study Target 2 Report, p.64-65</t>
  </si>
  <si>
    <t>Percentage of daily hourly consumption in the peak hour</t>
  </si>
  <si>
    <t>Unit</t>
  </si>
  <si>
    <t>Value</t>
  </si>
  <si>
    <t>%</t>
  </si>
  <si>
    <t>Existing Capacity</t>
  </si>
  <si>
    <t>Algonquin Gas Trans Co</t>
  </si>
  <si>
    <t>Maritimes/Northeast PL Co</t>
  </si>
  <si>
    <t>Tennessee Gas Pipeline Co</t>
  </si>
  <si>
    <t>Pipeline Capacity Expansion</t>
  </si>
  <si>
    <t>Source</t>
  </si>
  <si>
    <t>MMCf / Day</t>
  </si>
  <si>
    <t>MMBtu/Peak Hour</t>
  </si>
  <si>
    <t>Total, Pre-November 2016</t>
  </si>
  <si>
    <t>Total, Post-November 2016</t>
  </si>
  <si>
    <t>DOE/EIA EIA-StatetoStateCapacity.xls, http://www.eia.gov/naturalgas/data.cfm</t>
  </si>
  <si>
    <t>DOE/EIA, Algonquin Gas Transmision AIM Project.</t>
  </si>
  <si>
    <t>Algonquin Gas Transmission, LLC, Algonquin Incremental Market ("AIM") Project. Selected because it has completed its open-season, has filed with the Federal Energy Regulatory Commission for approval and the LDC contracts for the service have received MA D.P.U. approval.</t>
  </si>
  <si>
    <t>DOE</t>
  </si>
  <si>
    <t>Algonquin</t>
  </si>
  <si>
    <t>Calculated</t>
  </si>
  <si>
    <t>GDF Suez</t>
  </si>
  <si>
    <t>National Grid</t>
  </si>
  <si>
    <t>Dorchester</t>
  </si>
  <si>
    <t>Lynn</t>
  </si>
  <si>
    <t>Salem</t>
  </si>
  <si>
    <t>Tewsbury</t>
  </si>
  <si>
    <t>Westford</t>
  </si>
  <si>
    <t>South Yarmouth</t>
  </si>
  <si>
    <t>Wareham</t>
  </si>
  <si>
    <t>Haverhill</t>
  </si>
  <si>
    <t>Easton</t>
  </si>
  <si>
    <t>Lawrence</t>
  </si>
  <si>
    <t>Ludlow</t>
  </si>
  <si>
    <t>Marshfield</t>
  </si>
  <si>
    <t>Columbia</t>
  </si>
  <si>
    <t>Company</t>
  </si>
  <si>
    <t>NSTAR</t>
  </si>
  <si>
    <t>Hopkington</t>
  </si>
  <si>
    <t>Acushnet</t>
  </si>
  <si>
    <t>Liberty</t>
  </si>
  <si>
    <t>Fall River</t>
  </si>
  <si>
    <t>Fitchurg Gas &amp; Electric</t>
  </si>
  <si>
    <t>Berkshire Gas</t>
  </si>
  <si>
    <t>Mcf/day</t>
  </si>
  <si>
    <t>Location</t>
  </si>
  <si>
    <t>Type</t>
  </si>
  <si>
    <t>Propane</t>
  </si>
  <si>
    <t>Brockton</t>
  </si>
  <si>
    <t>North Hampton</t>
  </si>
  <si>
    <t>West Springfield</t>
  </si>
  <si>
    <t>Southbridge</t>
  </si>
  <si>
    <t>Norwood</t>
  </si>
  <si>
    <t>Pittsfield</t>
  </si>
  <si>
    <t>Greenfield</t>
  </si>
  <si>
    <t>North Adams</t>
  </si>
  <si>
    <t>Columbia Gas of Massachusetts Forecast and Supply Plan Table G-14, Existing On-System Peaking Resources at page A-34.</t>
  </si>
  <si>
    <t>Columbia Forecast and Supply Plan</t>
  </si>
  <si>
    <t>NStar Forecast and Supply Plan Figure 51: Nstar Gas Firm Portfolio Resources at page 88.</t>
  </si>
  <si>
    <t>NSTAR Forecast and Supply Plan</t>
  </si>
  <si>
    <t>Liberty Utilities Forecast and Supply Plan at Table G-14, Existing Gas Manufacturing and Storage Facilities, Appendix 1 Energy Facilities Siting Board Tables, at page 12.</t>
  </si>
  <si>
    <t>Liberty Forecast and Supply Plan</t>
  </si>
  <si>
    <t>Fitchburg Gas and Electric Forecast and Supply Plan at Table G-14, page A-13.</t>
  </si>
  <si>
    <t>Berkshire Gas Company Forecast and Supply Plan at Table G-14, page 21.</t>
  </si>
  <si>
    <t>Fitchburg Forecast and Supply Plan</t>
  </si>
  <si>
    <t>Berkshire Forecast and Supply Plan</t>
  </si>
  <si>
    <t>National Grid Forecast and Supply Plan at Table G-14, Existing Gas Manufacturing and Storage Facilities.</t>
  </si>
  <si>
    <t>National Grid Forecast and Supply Plan</t>
  </si>
  <si>
    <t>Utility Forecast and Supply Plans</t>
  </si>
  <si>
    <t>Table 1. Constants</t>
  </si>
  <si>
    <t>Table 2. LDC Demand</t>
  </si>
  <si>
    <t>Table 3. Muni Capacity</t>
  </si>
  <si>
    <t>AEO 2014</t>
  </si>
  <si>
    <t>http://www.eia.gov/oiaf/aeo/tablebrowser/aeo_query_server/?event=ehExcel.getFile&amp;study=AEO2014&amp;region=0-0&amp;cases=ref2014-d102413a&amp;table=20-AEO2014&amp;yearFilter=0</t>
  </si>
  <si>
    <t>kBtu / cubic foot</t>
  </si>
  <si>
    <t>Unit Conversion</t>
  </si>
  <si>
    <t>Winter Reliability</t>
  </si>
  <si>
    <t>Demand Response</t>
  </si>
  <si>
    <t>Pumped Storage</t>
  </si>
  <si>
    <t>Battery Storage</t>
  </si>
  <si>
    <t>Sector</t>
  </si>
  <si>
    <t>Series</t>
  </si>
  <si>
    <t>2013 $</t>
  </si>
  <si>
    <t>Projections:  EIA, AEO2014 National Energy Modeling System.</t>
  </si>
  <si>
    <t>2012 carbon dioxide emissions and emission factors:  EIA, Monthly Energy Review, DOE/EIA-0035(2013/09) (Washington, DC, September 2013).</t>
  </si>
  <si>
    <t>population and gross domestic product:  IHS Global Insight Industry and Employment models, May 2013.  2011 and</t>
  </si>
  <si>
    <t>Monthly Energy Review, DOE/EIA-0035(2013/09) (Washington, DC, September 2013).  2011 and 2012</t>
  </si>
  <si>
    <t>   Sources:  2011 and 2012 consumption based on:  U.S. Energy Information Administration (EIA),</t>
  </si>
  <si>
    <t>Data for 2011 and 2012 are model results and may differ from official EIA data reports.</t>
  </si>
  <si>
    <t>   Note:  Includes estimated consumption for petroleum and other liquids.  Totals may not equal sum of components due to independent rounding.</t>
  </si>
  <si>
    <t>   - - = Not applicable.</t>
  </si>
  <si>
    <t>   Btu = British thermal unit.</t>
  </si>
  <si>
    <t>buildings photovoltaic systems, and solar thermal water heaters.</t>
  </si>
  <si>
    <t>solar thermal sources.  Excludes ethanol, net electricity imports, and nonmarketed renewable energy consumption for geothermal heat pumps,</t>
  </si>
  <si>
    <t>   18/ Includes conventional hydroelectric, geothermal, wood and wood waste, biogenic municipal waste, other biomass, wind, photovoltaic, and</t>
  </si>
  <si>
    <t>solar thermal sources.  Excludes net electricity imports.</t>
  </si>
  <si>
    <t>   17/ Includes conventional hydroelectric, geothermal, wood and wood waste, biogenic municipal waste, other biomass, wind, photovoltaic, and</t>
  </si>
  <si>
    <t>is much larger, but alternative processes are required to take advantage of it.</t>
  </si>
  <si>
    <t>   16/ These values represent the energy obtained from uranium when it is used in light water reactors.  The total energy content of uranium</t>
  </si>
  <si>
    <t>   15/ Includes consumption of energy by electricity-only and combined heat and power plants that have a regulatory status.</t>
  </si>
  <si>
    <t>heaters.</t>
  </si>
  <si>
    <t>Excludes ethanol and nonmarketed renewable energy consumption for geothermal heat pumps, buildings photovoltaic systems, and solar thermal water</t>
  </si>
  <si>
    <t>   14/ Includes electricity generated for sale to the grid and for own use from renewable sources, and non-electric energy from renewable sources.</t>
  </si>
  <si>
    <t>   13/ Includes aviation gasoline, petroleum coke, asphalt, road oil, lubricants, still gas, and miscellaneous petroleum products.</t>
  </si>
  <si>
    <t>   12/ Includes aviation gasoline and lubricants.</t>
  </si>
  <si>
    <t>   11/ Diesel fuel for on- and off- road use.</t>
  </si>
  <si>
    <t>   10/ Includes only kerosene type.</t>
  </si>
  <si>
    <t>the percentage of ethanol varies seasonally.  The annual average ethanol content of 74 percent is used for this forecast.</t>
  </si>
  <si>
    <t>   9/ E85 refers to a blend of 85 percent ethanol (renewable) and 15 percent motor gasoline (nonrenewable).  To address cold starting issues,</t>
  </si>
  <si>
    <t>ethanol blends (15 percent or less) in motor gasoline.</t>
  </si>
  <si>
    <t>   8/ Includes consumption of energy produced from hydroelectric, wood and wood waste, municipal waste, and other biomass sources.  Excludes</t>
  </si>
  <si>
    <t>in export facilities.</t>
  </si>
  <si>
    <t>   7/ Represents natural gas used in well, field, and lease operations, in natural gas processing plant machinery, and for liquefaction</t>
  </si>
  <si>
    <t>   6/ Includes petroleum coke, asphalt, road oil, lubricants, still gas, and miscellaneous petroleum products.</t>
  </si>
  <si>
    <t>   5/ Includes ethane, natural gasoline, and refinery olefins.</t>
  </si>
  <si>
    <t>   4/ Includes energy for combined heat and power plants that have a non-regulatory status, and small on-site generating systems.</t>
  </si>
  <si>
    <t>heating and electricity generation from wind and solar photovoltaic sources.</t>
  </si>
  <si>
    <t>combined heat and power.  See Table 5 and/or Table 17 for estimates of nonmarketed renewable energy consumption for solar thermal water</t>
  </si>
  <si>
    <t>   3/ Excludes ethanol.  Includes commercial sector consumption of wood and wood waste, landfill gas, municipal waste, and other biomass for</t>
  </si>
  <si>
    <t>   2/ Includes ethanol (blends of 15 percent or less) and ethers blended into gasoline.</t>
  </si>
  <si>
    <t>geothermal heat pumps, solar thermal water heating, and electricity generation from wind and solar photovoltaic sources.</t>
  </si>
  <si>
    <t>   1/ Includes wood used for residential heating. See Table 4 and/or Table 17 for estimates of nonmarketed renewable energy consumption for</t>
  </si>
  <si>
    <t>   tons carbon dioxide)</t>
  </si>
  <si>
    <t>  Carbon Dioxide Emissions (million metric</t>
  </si>
  <si>
    <t>  US GDP (billion 2005 dollars)</t>
  </si>
  <si>
    <t>  Population (millions)</t>
  </si>
  <si>
    <t>  Ethanol Consumed in Motor Gasoline and E85</t>
  </si>
  <si>
    <t>  Total Energy Use</t>
  </si>
  <si>
    <t>  Delivered Energy Use</t>
  </si>
  <si>
    <t>Energy Use &amp; Related Statistics</t>
  </si>
  <si>
    <t>     Total</t>
  </si>
  <si>
    <t>   Electricity Imports</t>
  </si>
  <si>
    <t>   Non-biogenic Municipal Waste</t>
  </si>
  <si>
    <t>- -</t>
  </si>
  <si>
    <t>   Liquid Hydrogen</t>
  </si>
  <si>
    <t>   Renewable Energy 18/</t>
  </si>
  <si>
    <t>   Biofuels Heat and Coproducts</t>
  </si>
  <si>
    <t>   Nuclear / Uranium 16/</t>
  </si>
  <si>
    <t>     Coal Subtotal</t>
  </si>
  <si>
    <t>   Net Coal Coke Imports</t>
  </si>
  <si>
    <t>   Coal-to-Liquids Heat and Power</t>
  </si>
  <si>
    <t>   Other Coal</t>
  </si>
  <si>
    <t>   Metallurgical Coal</t>
  </si>
  <si>
    <t>     Natural Gas Subtotal</t>
  </si>
  <si>
    <t>   Pipeline Fuel Natural Gas</t>
  </si>
  <si>
    <t>   Lease and Plant Fuel 7/</t>
  </si>
  <si>
    <t>   Natural-Gas-to-Liquids Heat and Power</t>
  </si>
  <si>
    <t>   Natural Gas</t>
  </si>
  <si>
    <t>     Petroleum and Other Liquids Subtotal</t>
  </si>
  <si>
    <t>   Other Petroleum 13/</t>
  </si>
  <si>
    <t>   Petrochemical Feedstocks</t>
  </si>
  <si>
    <t>   Residual Fuel Oil</t>
  </si>
  <si>
    <t>   Distillate Fuel Oil</t>
  </si>
  <si>
    <t>   Kerosene</t>
  </si>
  <si>
    <t>   Jet Fuel 10/</t>
  </si>
  <si>
    <t>      of which:  E85 9/</t>
  </si>
  <si>
    <t>   Motor Gasoline 2/</t>
  </si>
  <si>
    <t>   Liquefied Petroleum Gases and Other 5/</t>
  </si>
  <si>
    <t> Total Energy Consumption</t>
  </si>
  <si>
    <t>   Renewable Energy 17/</t>
  </si>
  <si>
    <t>   Steam Coal</t>
  </si>
  <si>
    <t> Electric Power 15/</t>
  </si>
  <si>
    <t>   Electricity Related Losses</t>
  </si>
  <si>
    <t>     Delivered Energy</t>
  </si>
  <si>
    <t>   Electricity</t>
  </si>
  <si>
    <t>   Renewable Energy 14/</t>
  </si>
  <si>
    <t> Delivered Energy Consumption, All Sectors</t>
  </si>
  <si>
    <t>   Compressed / Liquefied Natural Gas</t>
  </si>
  <si>
    <t>   Other Petroleum 12/</t>
  </si>
  <si>
    <t>   Distillate Fuel Oil 11/</t>
  </si>
  <si>
    <t>   Propane</t>
  </si>
  <si>
    <t> Transportation</t>
  </si>
  <si>
    <t>   Renewable Energy 8/</t>
  </si>
  <si>
    <t>   Other Industrial Coal</t>
  </si>
  <si>
    <t>   Other Petroleum 6/</t>
  </si>
  <si>
    <t> Industrial 4/</t>
  </si>
  <si>
    <t>   Renewable Energy 3/</t>
  </si>
  <si>
    <t>   Coal</t>
  </si>
  <si>
    <t> Commercial</t>
  </si>
  <si>
    <t>   Renewable Energy 1/</t>
  </si>
  <si>
    <t> Residential</t>
  </si>
  <si>
    <t>Growth Rate (2012-2040)</t>
  </si>
  <si>
    <t>Sector and Source</t>
  </si>
  <si>
    <t>(quadrillion Btu, unless otherwise noted)</t>
  </si>
  <si>
    <t>Energy Consumption by Sector and Source, New England, Reference case</t>
  </si>
  <si>
    <t>DOE/EIA-0035(2013/09) (Washington, DC, September 2013).  Projections:  EIA, AEO2014 National Energy Modeling System.</t>
  </si>
  <si>
    <t>   Sources:  2011 and 2012 emissions and emission factors:  EIA, Monthly Energy Review,</t>
  </si>
  <si>
    <t>are model results and may differ from official EIA data reports.</t>
  </si>
  <si>
    <t>Totals may not equal sum of components due to independent rounding.  Data for 2011 and 2012</t>
  </si>
  <si>
    <t>from biogenic energy sources as an indication of the potential net release of carbon dioxide in the absence of offsetting sequestration.</t>
  </si>
  <si>
    <t>carbon stocks, a net positive release of carbon may occur.  See "Energy-Related Carbon Dioxide Emissions by End Use" for the emissions</t>
  </si>
  <si>
    <t>emissions over some period of time. If, however, increased use of biomass energy results in a decline in terrestrial</t>
  </si>
  <si>
    <t>of carbon from these sources is assumed to be balanced by the uptake of carbon when the feedstock is grown, resulting in zero net</t>
  </si>
  <si>
    <t>  Note: By convention, the direct emissions from biogenic energy sources are excluded from energy-related CO2 emissions.  The release</t>
  </si>
  <si>
    <t>   7/ Includes emissions from geothermal power and nonbiogenic emissions from municipal waste.</t>
  </si>
  <si>
    <t>   6/ Includes electricity-only and combined heat and power plants that have a regulatory status.</t>
  </si>
  <si>
    <t>   5/ Includes pipeline fuel natural gas and natural gas used as fuel in motor vehicles, trains, and ships.</t>
  </si>
  <si>
    <t>international bunker fuels accounted for 90 to 126 million metric tons annually.</t>
  </si>
  <si>
    <t>accounting of carbon dioxide emissions under the United Nations convention.  From 1990 through 2012,</t>
  </si>
  <si>
    <t>   4/ This includes carbon dioxide from international bunker fuels, both civilian and military, which are excluded from the</t>
  </si>
  <si>
    <t>   3/ Includes lease and plant fuel.</t>
  </si>
  <si>
    <t>   2/ Includes combined heat and power plants that have a non-regulatory status, and small on-site generating systems.</t>
  </si>
  <si>
    <t>   1/ Emissions from the electric power sector are distributed to the end-use sectors.</t>
  </si>
  <si>
    <t> (tons carbon dioxide per person)</t>
  </si>
  <si>
    <t> Carbon Dioxide Emissions</t>
  </si>
  <si>
    <t>   Other 7/</t>
  </si>
  <si>
    <t>   Petroleum 4/</t>
  </si>
  <si>
    <t> Total by Fuel</t>
  </si>
  <si>
    <t>     Total Electric Power</t>
  </si>
  <si>
    <t>   Petroleum</t>
  </si>
  <si>
    <t> Electric Power 6/</t>
  </si>
  <si>
    <t>     Total Transportation</t>
  </si>
  <si>
    <t>   Electricity 1/</t>
  </si>
  <si>
    <t>   Natural Gas 5/</t>
  </si>
  <si>
    <t>     Total Industrial</t>
  </si>
  <si>
    <t>   Natural Gas 3/</t>
  </si>
  <si>
    <t> Industrial 2/</t>
  </si>
  <si>
    <t>     Total Commercial</t>
  </si>
  <si>
    <t>     Total Residential</t>
  </si>
  <si>
    <t>(million metric tons carbon dioxide, unless otherwise noted)</t>
  </si>
  <si>
    <t>Energy-Related Carbon Dioxide Emissions by Sector and Source, New England, Reference case</t>
  </si>
  <si>
    <t>http://www.eia.gov/oiaf/aeo/tablebrowser/aeo_query_server/?event=ehExcel.getFile&amp;study=AEO2014&amp;region=1-1&amp;cases=ref2014-d102413a&amp;table=2-AEO2014&amp;yearFilter=0</t>
  </si>
  <si>
    <t>http://www.eia.gov/oiaf/aeo/tablebrowser/aeo_query_server/?event=ehExcel.getFile&amp;study=AEO2014&amp;region=1-1&amp;cases=ref2014-d102413a&amp;table=17-AEO2014&amp;yearFilter=0</t>
  </si>
  <si>
    <t>AEO 2014, Table 2.1 and Table 18.1</t>
  </si>
  <si>
    <t>Residential</t>
  </si>
  <si>
    <t>Commercial</t>
  </si>
  <si>
    <t>Industrial</t>
  </si>
  <si>
    <t>Transportation</t>
  </si>
  <si>
    <t>NG Consumption</t>
  </si>
  <si>
    <t>MMBtu</t>
  </si>
  <si>
    <t>CO2 Emissions</t>
  </si>
  <si>
    <t>Million Metric Tons</t>
  </si>
  <si>
    <t>CO2 Emissions Rate</t>
  </si>
  <si>
    <t>short ton / metric ton</t>
  </si>
  <si>
    <t>Weighted Average</t>
  </si>
  <si>
    <t>Scenario 1: Base Case - Reference Gas Price - No Hydro</t>
  </si>
  <si>
    <t>2013 $ M per Year</t>
  </si>
  <si>
    <t>MA Electric System</t>
  </si>
  <si>
    <t>LNG Storage - Port</t>
  </si>
  <si>
    <t>LNG Storage - Tanks</t>
  </si>
  <si>
    <t>Year</t>
  </si>
  <si>
    <t>Low</t>
  </si>
  <si>
    <t>Ref</t>
  </si>
  <si>
    <t>High</t>
  </si>
  <si>
    <t>Synapse</t>
  </si>
  <si>
    <t>Total MA Delivered (2013 $ / MMBtu)</t>
  </si>
  <si>
    <t>Unit Conversion - Pipeline gas</t>
  </si>
  <si>
    <t>Unit Conversion - Shipped-in LNG</t>
  </si>
  <si>
    <t>Metric Tons per MMBtu</t>
  </si>
  <si>
    <t>G:\14-128 MA DOER Low Demand Scenario\Task 3. Modeling\GHG\EAS Exhibit 08 Synapse GWSA Target Spreadsheet (20141113 EAS).xlsx</t>
  </si>
  <si>
    <t>Maximum allowable emissions from gas heating and electric sectors</t>
  </si>
  <si>
    <t>million metric tons</t>
  </si>
  <si>
    <t>MA NG</t>
  </si>
  <si>
    <t>MA CO2</t>
  </si>
  <si>
    <t>MA Costs</t>
  </si>
  <si>
    <t>metric tons</t>
  </si>
  <si>
    <t>Base Case</t>
  </si>
  <si>
    <t>Reference Gas</t>
  </si>
  <si>
    <t>No Hydro</t>
  </si>
  <si>
    <t>Base Case - Ref Gas - No Hydro</t>
  </si>
  <si>
    <t>Base Case - Low Gas - No Hydro</t>
  </si>
  <si>
    <t>Base Case - High Gas - No Hydro</t>
  </si>
  <si>
    <t>Sources</t>
  </si>
  <si>
    <t>Low Gas</t>
  </si>
  <si>
    <t>High Gas</t>
  </si>
  <si>
    <t>Annual MMBtu</t>
  </si>
  <si>
    <t>Base - Ref</t>
  </si>
  <si>
    <t>Base - Low</t>
  </si>
  <si>
    <t>Base - High</t>
  </si>
  <si>
    <t>Month</t>
  </si>
  <si>
    <t>Calculating the savings of avoiding price spikes</t>
  </si>
  <si>
    <t>National Grid forecast for 2013/2014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</si>
  <si>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</si>
  <si>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</si>
  <si>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</si>
  <si>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</si>
  <si>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</si>
  <si>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</si>
  <si>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</si>
  <si>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</si>
  <si>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</si>
  <si>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</si>
  <si>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</si>
  <si>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</si>
  <si>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Dtherms / Year</t>
  </si>
  <si>
    <t>Percentage of Year</t>
  </si>
  <si>
    <t>Total - Base</t>
  </si>
  <si>
    <t>Scenario 1</t>
  </si>
  <si>
    <t>Scenario 2</t>
  </si>
  <si>
    <t>Scenario 3</t>
  </si>
  <si>
    <t>Scenario 4</t>
  </si>
  <si>
    <t>Scenario 5</t>
  </si>
  <si>
    <t>Scenario 6</t>
  </si>
  <si>
    <t>Scenario 7</t>
  </si>
  <si>
    <t>Scenario 8</t>
  </si>
  <si>
    <t>Monthly Price Effect (2013 $ M)</t>
  </si>
  <si>
    <t>Savings by avoiding Spike (2013 $/MMBtu)</t>
  </si>
  <si>
    <t>Gas</t>
  </si>
  <si>
    <t>Incremental Pipeline</t>
  </si>
  <si>
    <t>Avoided Price Spikes</t>
  </si>
  <si>
    <t>Electric System</t>
  </si>
  <si>
    <t>Existing Pipeline</t>
  </si>
  <si>
    <t>Pipeline</t>
  </si>
  <si>
    <t>S1_BaseRefNGNoHydro</t>
  </si>
  <si>
    <t>S2_BaseLowNGNoHydro</t>
  </si>
  <si>
    <t>S8_LowRefNGHydro</t>
  </si>
  <si>
    <t>S3_BaseHighNGNoHydro</t>
  </si>
  <si>
    <t>Scen 1</t>
  </si>
  <si>
    <t>Scen 2</t>
  </si>
  <si>
    <t>Scen 3</t>
  </si>
  <si>
    <t>Scen 4</t>
  </si>
  <si>
    <t>Scen 5</t>
  </si>
  <si>
    <t>Scen 6</t>
  </si>
  <si>
    <t>Scen 7</t>
  </si>
  <si>
    <t>Scen 8</t>
  </si>
  <si>
    <t>Billion Btu per Hour</t>
  </si>
  <si>
    <t>Trillion Btu per Year</t>
  </si>
  <si>
    <t>Million Metric Tons CO2 per Year</t>
  </si>
  <si>
    <t>MA EE Costs</t>
  </si>
  <si>
    <t>TVR</t>
  </si>
  <si>
    <t>Hydro</t>
  </si>
  <si>
    <t>Low Demand</t>
  </si>
  <si>
    <t>Base Case - Ref Gas - Hydro</t>
  </si>
  <si>
    <t>Base - Hydro</t>
  </si>
  <si>
    <t>Total Costs (2013 $ M)</t>
  </si>
  <si>
    <t>Base</t>
  </si>
  <si>
    <t>Reference</t>
  </si>
  <si>
    <t>Non-EE Costs</t>
  </si>
  <si>
    <t>Notes</t>
  </si>
  <si>
    <t>In Low Demand, Gas Reduction measures include EE for low and reference gas prices, and EE + SHW + biomass thermal for the high gas price</t>
  </si>
  <si>
    <t>In Low Demand, EE costs include EE + Appliance standards for all cases. However, the cost of implementing appliance standards is zero.</t>
  </si>
  <si>
    <t>Non-EE costs include capital costs for all resources, plus operating and fuel costs for DG resources</t>
  </si>
  <si>
    <t>Gas Reduction Savings (Annual MMBtu)</t>
  </si>
  <si>
    <t>Gas Reduction Savings (Peak MMBtu)</t>
  </si>
  <si>
    <t xml:space="preserve">EE </t>
  </si>
  <si>
    <t xml:space="preserve">SHW </t>
  </si>
  <si>
    <t>Gas - Total</t>
  </si>
  <si>
    <t>Gas - EE</t>
  </si>
  <si>
    <t>Gas - SHW</t>
  </si>
  <si>
    <t>Gas - Biomass Thermal</t>
  </si>
  <si>
    <t>Scenario 2: Base Case - Low Gas Price - No Hydro</t>
  </si>
  <si>
    <t>S4_BaseRefNGHydro</t>
  </si>
  <si>
    <t>S5_LowRefNGNoHydro</t>
  </si>
  <si>
    <t>S6_LowLowNGNoHydro</t>
  </si>
  <si>
    <t>S7_LowHighNGNoHydro</t>
  </si>
  <si>
    <t>Scenario 3: Base Case - High Gas Price - No Hydro</t>
  </si>
  <si>
    <t>Low Demand - Ref Gas - No Hydro</t>
  </si>
  <si>
    <t>Low Demand - Low Gas - No Hydro</t>
  </si>
  <si>
    <t>Low Demand - High Gas - No Hydro</t>
  </si>
  <si>
    <t>Low Demand - Ref Gas - Hydro</t>
  </si>
  <si>
    <t>LD - Ref</t>
  </si>
  <si>
    <t>LD - Low</t>
  </si>
  <si>
    <t>LD - High</t>
  </si>
  <si>
    <t>LD - Hydro</t>
  </si>
  <si>
    <t>Annual Gas Outputs</t>
  </si>
  <si>
    <t>G:\14-128 MA DOER Low Demand Scenario\Task 2. Supply Curve\Renewables Supply Curve - Ref Gas (20141114 PK 314 PM).xlsm</t>
  </si>
  <si>
    <t>Balancing Measures</t>
  </si>
  <si>
    <t>Incremental Balancing Measures: Base Case</t>
  </si>
  <si>
    <t>Increment</t>
  </si>
  <si>
    <t>Total winter peak hour availability</t>
  </si>
  <si>
    <t>Total annual availability</t>
  </si>
  <si>
    <t>Winter peak hour availability</t>
  </si>
  <si>
    <t>Annual availability</t>
  </si>
  <si>
    <t>Hours of availability at winter peak per year</t>
  </si>
  <si>
    <t>Annual cost</t>
  </si>
  <si>
    <t>Per MMBtu cost</t>
  </si>
  <si>
    <t>Number of minimum increments available</t>
  </si>
  <si>
    <t>2015 Balancing Measures</t>
  </si>
  <si>
    <t>hours</t>
  </si>
  <si>
    <t>$</t>
  </si>
  <si>
    <t>$/MMBtu Annual</t>
  </si>
  <si>
    <t>n/a</t>
  </si>
  <si>
    <t>Minimum</t>
  </si>
  <si>
    <t>Pipeline (long- and short-haul)</t>
  </si>
  <si>
    <t>undetermined</t>
  </si>
  <si>
    <t>Winter Reliability Program</t>
  </si>
  <si>
    <t>2020 Balancing Measures</t>
  </si>
  <si>
    <t>2030 Balancing Measures</t>
  </si>
  <si>
    <t>Incremental Balancing Measures: Low Demand Case</t>
  </si>
  <si>
    <t>Demand as a % of Supply</t>
  </si>
  <si>
    <t>Availability (Billion Btu)</t>
  </si>
  <si>
    <t>Difference from Base</t>
  </si>
  <si>
    <t>2015</t>
  </si>
  <si>
    <t>Btu</t>
  </si>
  <si>
    <t>2020</t>
  </si>
  <si>
    <t>Annual NG Consumption (Trillion Btu)</t>
  </si>
  <si>
    <t>Annual CO2 Emissions (Million Metric Tons)</t>
  </si>
  <si>
    <t>2030</t>
  </si>
  <si>
    <t>Lifetime</t>
  </si>
  <si>
    <t>Levelized Cost</t>
  </si>
  <si>
    <t>Scenario 6: Low Demand Case - Low Gas Price - No Hydro</t>
  </si>
  <si>
    <t>Base Case Charts</t>
  </si>
  <si>
    <t>Reductions</t>
  </si>
  <si>
    <t>G:\14-128 MA DOER Low Demand Scenario\Task 2. Supply Curve\Low Demand Task List (20141119).xlsx</t>
  </si>
  <si>
    <t>Electric EE PA</t>
  </si>
  <si>
    <t>Gas EE</t>
  </si>
  <si>
    <t>Delta Costs from Base</t>
  </si>
  <si>
    <t>LDCs + Munis</t>
  </si>
  <si>
    <t>Demand (Monthly MMBtu)</t>
  </si>
  <si>
    <t>Low Demand Resources Capital</t>
  </si>
  <si>
    <t>Other Resouces Capital</t>
  </si>
  <si>
    <t>Scenario 4: Base Case - Reference Gas Price - Hydro</t>
  </si>
  <si>
    <t>Scenario 7: Low Demand Case - High Gas Price - No Hydro</t>
  </si>
  <si>
    <t>Scenario 8: Low Demand Case - Reference Gas Price - Hydro</t>
  </si>
  <si>
    <t>Costs - Delta from base</t>
  </si>
  <si>
    <t>Heating Demand</t>
  </si>
  <si>
    <t>Heating Delta</t>
  </si>
  <si>
    <t>WR Quantity</t>
  </si>
  <si>
    <t>"Total" Costs</t>
  </si>
  <si>
    <t>"Delta" Costs</t>
  </si>
  <si>
    <t>G:\14-128 MA DOER Low Demand Scenario\Task 3. Modeling\Market Analytics Outputs\Low demand_ref gas_January.xlsx</t>
  </si>
  <si>
    <t>G:\14-128 MA DOER Low Demand Scenario\Task 3. Modeling\Market Analytics Outputs\Low demand_high gas_January.xlsx</t>
  </si>
  <si>
    <t>G:\14-128 MA DOER Low Demand Scenario\Task 3. Modeling\Market Analytics Outputs\Low demand_low gas_January.xlsx</t>
  </si>
  <si>
    <t>G:\14-128 MA DOER Low Demand Scenario\Task 3. Modeling\Market Analytics Outputs\Ref demand_ref gas_January.xlsx</t>
  </si>
  <si>
    <t>G:\14-128 MA DOER Low Demand Scenario\Task 3. Modeling\Market Analytics Outputs\Ref demand_low gas_January.xlsx</t>
  </si>
  <si>
    <t>G:\14-128 MA DOER Low Demand Scenario\Task 3. Modeling\Market Analytics Outputs\Ref demand_high gas_January.xlsx</t>
  </si>
  <si>
    <t>LNG Injection - Mystic</t>
  </si>
  <si>
    <t>LNG Injection - Other Gen</t>
  </si>
  <si>
    <t>Holyoke (Muni)</t>
  </si>
  <si>
    <t>Holyoke</t>
  </si>
  <si>
    <t>NGA Annual Supply Manual</t>
  </si>
  <si>
    <t>Middleboro (Muni)</t>
  </si>
  <si>
    <t>Middleboro</t>
  </si>
  <si>
    <t>Mystic LNG Injection</t>
  </si>
  <si>
    <t>LNG Shipped - Mystic</t>
  </si>
  <si>
    <t>DR Quantity</t>
  </si>
  <si>
    <t>LDCs, Munis, Capacity Exempt</t>
  </si>
  <si>
    <t>Supply less Demand</t>
  </si>
  <si>
    <t>Oil Consumption</t>
  </si>
  <si>
    <t>Oil CO2 Emissions</t>
  </si>
  <si>
    <t>Electric Power</t>
  </si>
  <si>
    <t>Oil CO2 Emissions Rate</t>
  </si>
  <si>
    <t>NG CO2 Emissions</t>
  </si>
  <si>
    <t>NG CO2 Emissions Rate</t>
  </si>
  <si>
    <t>Net Increase</t>
  </si>
  <si>
    <t>Incremental Pipeline Quantity</t>
  </si>
  <si>
    <t>Scenario 5: Low Demand Case - Reference Gas Price - No Hydro</t>
  </si>
  <si>
    <t>G:\14-128 MA DOER Low Demand Scenario\Task 3. Modeling\Market Analytics Outputs\_Market Analytics Summary of Annual Base Runs (2014124).xlsx</t>
  </si>
  <si>
    <t>Scenario Detail Charts</t>
  </si>
  <si>
    <t>Heating System</t>
  </si>
  <si>
    <t>Existing Pipeline plus Vaporization</t>
  </si>
  <si>
    <t>New Pipeline</t>
  </si>
  <si>
    <t>Synapse, DPU 14-86</t>
  </si>
  <si>
    <t>G:\14-128 MA DOER Low Demand Scenario\Task 3. Modeling\Market Analytics Outputs\Low demand_new hydro_January_new gas differentials.xlsx</t>
  </si>
  <si>
    <t>G:\14-128 MA DOER Low Demand Scenario\Task 3. Modeling\Market Analytics Outputs\Ref demand_new hydro_January_new gas differentials.xlsx</t>
  </si>
  <si>
    <t>G:\14-128 MA DOER Low Demand Scenario\Task 3. Modeling\Peak Day Capacity (14-11-25).xlsx</t>
  </si>
  <si>
    <t>G:\14-128 MA DOER Low Demand Scenario\Task 2. Supply Curve\Low Demand Task List (20141124).xlsx</t>
  </si>
  <si>
    <t>Synapse analysis</t>
  </si>
  <si>
    <t>G:\13-103 MA DOER Support RE Electric Market Issues\Large Hydro Imports task 2\Synapse analyses\New England GHG Emissions\Copy of DOER Hydro Inventory (20131031) - Swap3600 JRH.xlsx</t>
  </si>
  <si>
    <t>VT Route - overland + submarine</t>
  </si>
  <si>
    <t>ME Route - overland + submarine</t>
  </si>
  <si>
    <t>Online Date</t>
  </si>
  <si>
    <t>Path/route</t>
  </si>
  <si>
    <t>35-year levelization rate</t>
  </si>
  <si>
    <t>Cost normalized to 1200 MW (2013 $ B)</t>
  </si>
  <si>
    <t>Capital Recovery Factor</t>
  </si>
  <si>
    <t>G:\14-128 MA DOER Low Demand Scenario\Task 3. Modeling\Market Analytics Outputs\_Market Analytics Summary of Annual LD Runs (20141124).xlsx</t>
  </si>
  <si>
    <t>January Peak Hour Data (Billion Btu per Hour NG consumption of the electric system)</t>
  </si>
  <si>
    <t>Real discount rate, AESC 2013, Appendix B</t>
  </si>
  <si>
    <t>16-year NPV</t>
  </si>
  <si>
    <t>Emissions - Total</t>
  </si>
  <si>
    <t>Emissions - Gas</t>
  </si>
  <si>
    <t>Emissions - Electric</t>
  </si>
  <si>
    <t>2020 - Gas</t>
  </si>
  <si>
    <t>2030 - Gas</t>
  </si>
  <si>
    <t>2020 - Electric</t>
  </si>
  <si>
    <t>2030 - Electric</t>
  </si>
  <si>
    <t>GWSA Gas</t>
  </si>
  <si>
    <t>GWSA Electric</t>
  </si>
  <si>
    <t>BAU Gas</t>
  </si>
  <si>
    <t>BAU Electric</t>
  </si>
  <si>
    <t>BAU emissions from gas heating and electric sectors</t>
  </si>
  <si>
    <t>2020 GWSA</t>
  </si>
  <si>
    <t>2030 GWSA</t>
  </si>
  <si>
    <t>2020 BAU</t>
  </si>
  <si>
    <t>2030 BAU</t>
  </si>
  <si>
    <t>Table 6. Existing MA Peak Hour Capacity</t>
  </si>
  <si>
    <t>Table 7. Existing MA Vaporization Capacity</t>
  </si>
  <si>
    <t>Table 8. Non-electric CO2 emission rates for Natural Gas</t>
  </si>
  <si>
    <t>Table 9. CO2 emission rates for Natural Gas, Oil - Electric Power</t>
  </si>
  <si>
    <t>Table 10. Annual MA-basis NG Prices</t>
  </si>
  <si>
    <t>Table 11. GWSA Compliance</t>
  </si>
  <si>
    <t>Table 12. LDC Distribution by Month</t>
  </si>
  <si>
    <t>Table 13. Hydro transmission costs</t>
  </si>
  <si>
    <t>Table 4. Design day to peak hour conversion for heating demand</t>
  </si>
  <si>
    <t>DOER</t>
  </si>
  <si>
    <t>Table 5. Design day to peak hour conversion for pipeline supply and vaporization</t>
  </si>
  <si>
    <t>G:\14-128 MA DOER Low Demand Scenario\Task 2. Supply Curve\Renewables Supply Curve - For Export (20141201 PK).xlsm</t>
  </si>
  <si>
    <t>Heating</t>
  </si>
  <si>
    <t>Electric</t>
  </si>
  <si>
    <t>Peak Hour Gas Demand Percentages</t>
  </si>
  <si>
    <t>Avg</t>
  </si>
  <si>
    <t>Delta from Base</t>
  </si>
  <si>
    <t>Electric system demand</t>
  </si>
  <si>
    <t>LDCs, municipal, and capacity-exempt demand</t>
  </si>
  <si>
    <t>LNG Shipped - Other</t>
  </si>
  <si>
    <t>G:\14-128 MA DOER Low Demand Scenario\Task 3. Modeling\LDC Data Updated (21041204 PK).xlsx</t>
  </si>
  <si>
    <t>Last updated 12/4/2014 by PK</t>
  </si>
  <si>
    <t>Trillion Btu / Year</t>
  </si>
  <si>
    <t>Billion Btu / Hour</t>
  </si>
  <si>
    <t>GWSA Target (% reduction below 1990 statewide levels)</t>
  </si>
  <si>
    <t>GWSA Target (million metric tons CO2-e)</t>
  </si>
  <si>
    <t>CECP Non-Energy Sector Emissions (million metric tons CO2-e)</t>
  </si>
  <si>
    <t>CECP Transportation Sector Emissions (million metric tons CO2-e)</t>
  </si>
  <si>
    <t>CECP Building and Electric Sector Target (million metric tons CO2-e)</t>
  </si>
  <si>
    <t>CECP Building Sector Oil Emissions (million metric tons CO2-e)</t>
  </si>
  <si>
    <t>Emissions Available under GWSA Target</t>
  </si>
  <si>
    <t>MA Electric Inventory</t>
  </si>
  <si>
    <t>Existing LDC Vaporization</t>
  </si>
  <si>
    <t>Existing Distrigas Vaporization</t>
  </si>
  <si>
    <t>Total Delivered (HH Only)</t>
  </si>
  <si>
    <t>Table 14. Advanced Building Codes and Existing Renewable Thermal</t>
  </si>
  <si>
    <t>CO2 reductions from Adv. Bldg Codes</t>
  </si>
  <si>
    <t>CO2 reductions from Exist. RE Thermal</t>
  </si>
  <si>
    <t>Total CO2 Reductions</t>
  </si>
  <si>
    <t>MMBtu reductions</t>
  </si>
  <si>
    <t>BCF Expecation</t>
  </si>
  <si>
    <t>BCF Actual</t>
  </si>
  <si>
    <t>Billion NG Btu per Hour</t>
  </si>
  <si>
    <t>Trillion NG Btu per Year</t>
  </si>
  <si>
    <t>Heating Balancing</t>
  </si>
  <si>
    <t>Non-Contracted Demand</t>
  </si>
  <si>
    <t>Heating Demand Shortage</t>
  </si>
  <si>
    <t>Non-Contracted Delta</t>
  </si>
  <si>
    <t>Available Pipeline and Vaporization</t>
  </si>
  <si>
    <t>Pipeline Required</t>
  </si>
  <si>
    <t>Inc. Pipeline Quantity</t>
  </si>
  <si>
    <t>Non-Contracted Balancing</t>
  </si>
  <si>
    <t>Compliant?</t>
  </si>
  <si>
    <t>GWSA Emissions</t>
  </si>
  <si>
    <t>Maximum allowable for complicance</t>
  </si>
  <si>
    <t>-</t>
  </si>
  <si>
    <t>add NPV to each series, or add to slide</t>
  </si>
  <si>
    <t>Remake this with 1, 5, and 8</t>
  </si>
  <si>
    <t>Existing and planned pipeline</t>
  </si>
  <si>
    <t>Available vaporization (LDC, Distrigas, Mystic LNG) plus existing and planned pipeline</t>
  </si>
  <si>
    <t>Annualized Cost 
(2013 $ M)</t>
  </si>
  <si>
    <t>2020 GWSA Target for all sectors</t>
  </si>
  <si>
    <t>2030 GWSA Target for all sectors</t>
  </si>
  <si>
    <t>Author</t>
  </si>
  <si>
    <t>Date</t>
  </si>
  <si>
    <t>Pat Knight</t>
  </si>
  <si>
    <t>Synapse Energy Economics</t>
  </si>
  <si>
    <t>Purpose</t>
  </si>
  <si>
    <t>DOER Low Demand Analysis</t>
  </si>
  <si>
    <t>Index</t>
  </si>
  <si>
    <t>Charts</t>
  </si>
  <si>
    <t>RefTables</t>
  </si>
  <si>
    <t>PriceSpikes</t>
  </si>
  <si>
    <t>BalancingMeasures</t>
  </si>
  <si>
    <t>Inputs_AnnualElectric</t>
  </si>
  <si>
    <t>Inputs_JanElectric</t>
  </si>
  <si>
    <t>Inputs_SupplyCurve</t>
  </si>
  <si>
    <t>AEO_2014_NEWE_Cons</t>
  </si>
  <si>
    <t>AEO_2014_NEWE_CO2</t>
  </si>
  <si>
    <t>New England energy consumption per AEO 2014</t>
  </si>
  <si>
    <t>New England CO2 emissions per AEO 2014</t>
  </si>
  <si>
    <t>Low Demand Analysis Gas Model</t>
  </si>
  <si>
    <t>Index of sheets</t>
  </si>
  <si>
    <t>Sheet containing charts used in report</t>
  </si>
  <si>
    <t>Analysis of Scenario 1</t>
  </si>
  <si>
    <t>Analysis of Scenario 2</t>
  </si>
  <si>
    <t>Analysis of Scenario 3</t>
  </si>
  <si>
    <t>Analysis of Scenario 4</t>
  </si>
  <si>
    <t>Analysis of Scenario 5</t>
  </si>
  <si>
    <t>Analysis of Scenario 6</t>
  </si>
  <si>
    <t>Analysis of Scenario 7</t>
  </si>
  <si>
    <t>Analysis of Scenario 8</t>
  </si>
  <si>
    <t>Background reference tables</t>
  </si>
  <si>
    <t>Tables for price spike analysis</t>
  </si>
  <si>
    <t>Costs and availability for balancing measures</t>
  </si>
  <si>
    <t>Annual electric system output from Market Analytics</t>
  </si>
  <si>
    <t>Peak hour electric system output from Market Analytics</t>
  </si>
  <si>
    <t>Inputs from supply curve and feasability analyses</t>
  </si>
  <si>
    <t>min</t>
  </si>
  <si>
    <t>max</t>
  </si>
  <si>
    <t>BCF</t>
  </si>
  <si>
    <t xml:space="preserve">This spreadsheet contains both values used in our final results, and values used in previous modeling rounds, maintained here for comparison purposes. </t>
  </si>
  <si>
    <t>Note that this document may contain values not used in the final analysis.</t>
  </si>
  <si>
    <t>Please work "backwards" from the final results to trace the values used as final inputs to the modeling.</t>
  </si>
  <si>
    <t># of Measures</t>
  </si>
  <si>
    <t>Old LD</t>
  </si>
  <si>
    <t>New LD</t>
  </si>
  <si>
    <t>Delta</t>
  </si>
  <si>
    <t>Emissions (million metric tons CO2)</t>
  </si>
  <si>
    <t>S5</t>
  </si>
  <si>
    <t>S6</t>
  </si>
  <si>
    <t>S7</t>
  </si>
  <si>
    <t>S8</t>
  </si>
  <si>
    <r>
      <t xml:space="preserve">Changes to Peak hour gas - </t>
    </r>
    <r>
      <rPr>
        <sz val="11"/>
        <color theme="6"/>
        <rFont val="Gill Sans MT"/>
        <family val="2"/>
        <scheme val="minor"/>
      </rPr>
      <t>electric system only</t>
    </r>
  </si>
  <si>
    <r>
      <t xml:space="preserve">Changes to Emissions - </t>
    </r>
    <r>
      <rPr>
        <sz val="11"/>
        <color theme="6"/>
        <rFont val="Gill Sans MT"/>
        <family val="2"/>
        <scheme val="minor"/>
      </rPr>
      <t>electric system only</t>
    </r>
  </si>
  <si>
    <t>low</t>
  </si>
  <si>
    <t>ref</t>
  </si>
  <si>
    <t>high</t>
  </si>
  <si>
    <t>hydro</t>
  </si>
  <si>
    <t>Peak Hour gas used in electric sector (Billion Btu / Peak Hour)</t>
  </si>
  <si>
    <t>Annual gas used in electric sector (Trillion Btu / year)</t>
  </si>
  <si>
    <t>Annual Savings (trillion Btu)</t>
  </si>
  <si>
    <r>
      <t xml:space="preserve">Changes to Ann. Gas - </t>
    </r>
    <r>
      <rPr>
        <sz val="11"/>
        <color theme="6"/>
        <rFont val="Gill Sans MT"/>
        <family val="2"/>
        <scheme val="minor"/>
      </rPr>
      <t>electric system only</t>
    </r>
  </si>
  <si>
    <t>Capital Cost Increases (2013 $ M)</t>
  </si>
  <si>
    <t>All revisions from</t>
  </si>
  <si>
    <t>Changes to LD Resources Capital</t>
  </si>
  <si>
    <t>Annual electric system costs (2013 $ M)</t>
  </si>
  <si>
    <r>
      <t xml:space="preserve">Changes to </t>
    </r>
    <r>
      <rPr>
        <sz val="11"/>
        <color theme="6"/>
        <rFont val="Gill Sans MT"/>
        <family val="2"/>
        <scheme val="minor"/>
      </rPr>
      <t>Electric System</t>
    </r>
    <r>
      <rPr>
        <sz val="11"/>
        <color theme="1"/>
        <rFont val="Gill Sans MT"/>
        <family val="2"/>
        <scheme val="minor"/>
      </rPr>
      <t xml:space="preserve"> Costs</t>
    </r>
  </si>
  <si>
    <t>New LD Increment</t>
  </si>
  <si>
    <t>UPDATES</t>
  </si>
  <si>
    <t>Corrections to supply curve impacts</t>
  </si>
  <si>
    <t>G:\14-128 MA DOER Low Demand Scenario\Deliverables\Final Report\Supply Curve - Ref Gas (20141231).xlsm</t>
  </si>
  <si>
    <t>G:\14-128 MA DOER Low Demand Scenario\Deliverables\Final Report\Supply Curve - Low Gas (20141231).xlsm</t>
  </si>
  <si>
    <t>G:\14-128 MA DOER Low Demand Scenario\Deliverables\Final Report\Supply Curve - High Gas (20141231).xlsm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</si>
</sst>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"/>
    <numFmt numFmtId="166" formatCode="&quot;$&quot;#,##0.00"/>
    <numFmt numFmtId="167" formatCode="0.0"/>
    <numFmt numFmtId="168" formatCode="#,##0.0"/>
    <numFmt numFmtId="169" formatCode="0.000%"/>
    <numFmt numFmtId="170" formatCode="0.0%"/>
  </numFmts>
  <fonts count="26" x14ac:knownFonts="1">
    <font>
      <sz val="11"/>
      <color theme="1"/>
      <name val="Gill Sans MT"/>
      <family val="2"/>
      <scheme val="minor"/>
    </font>
    <font>
      <b/>
      <sz val="12"/>
      <color theme="1"/>
      <name val="Gill Sans MT"/>
      <family val="2"/>
      <scheme val="minor"/>
    </font>
    <font>
      <b/>
      <sz val="20"/>
      <color theme="1"/>
      <name val="Gill Sans MT"/>
      <family val="2"/>
      <scheme val="minor"/>
    </font>
    <font>
      <i/>
      <sz val="11"/>
      <color theme="1"/>
      <name val="Gill Sans MT"/>
      <family val="2"/>
      <scheme val="minor"/>
    </font>
    <font>
      <b/>
      <sz val="14"/>
      <color theme="0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b/>
      <sz val="14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4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FF0000"/>
      <name val="Gill Sans MT"/>
      <family val="2"/>
      <scheme val="minor"/>
    </font>
    <font>
      <b/>
      <u/>
      <sz val="11"/>
      <color theme="1"/>
      <name val="Gill Sans MT"/>
      <family val="2"/>
      <scheme val="minor"/>
    </font>
    <font>
      <u/>
      <sz val="11"/>
      <color theme="1"/>
      <name val="Gill Sans MT"/>
      <family val="2"/>
      <scheme val="minor"/>
    </font>
    <font>
      <b/>
      <sz val="13.5"/>
      <color theme="1"/>
      <name val="Gill Sans MT"/>
      <family val="2"/>
      <scheme val="minor"/>
    </font>
    <font>
      <sz val="14"/>
      <color theme="1"/>
      <name val="Gill Sans MT"/>
      <family val="2"/>
      <scheme val="minor"/>
    </font>
    <font>
      <b/>
      <sz val="16"/>
      <color theme="1"/>
      <name val="Gill Sans MT"/>
      <family val="2"/>
      <scheme val="minor"/>
    </font>
    <font>
      <b/>
      <sz val="10"/>
      <name val="Gill Sans MT"/>
      <family val="2"/>
      <scheme val="minor"/>
    </font>
    <font>
      <sz val="10"/>
      <name val="Gill Sans MT"/>
      <family val="2"/>
      <scheme val="minor"/>
    </font>
    <font>
      <i/>
      <sz val="10"/>
      <name val="Gill Sans MT"/>
      <family val="2"/>
      <scheme val="minor"/>
    </font>
    <font>
      <b/>
      <sz val="11"/>
      <color rgb="FFFF0000"/>
      <name val="Gill Sans MT"/>
      <family val="2"/>
      <scheme val="minor"/>
    </font>
    <font>
      <sz val="10"/>
      <name val="Arial"/>
      <family val="2"/>
    </font>
    <font>
      <i/>
      <sz val="11"/>
      <color theme="0" tint="-0.499984740745262"/>
      <name val="Gill Sans MT"/>
      <family val="2"/>
      <scheme val="minor"/>
    </font>
    <font>
      <b/>
      <sz val="11"/>
      <color rgb="FF00B0F0"/>
      <name val="Gill Sans MT"/>
      <family val="2"/>
      <scheme val="minor"/>
    </font>
    <font>
      <i/>
      <sz val="11"/>
      <color indexed="8"/>
      <name val="Gill Sans MT"/>
      <family val="2"/>
      <scheme val="minor"/>
    </font>
    <font>
      <b/>
      <i/>
      <sz val="14"/>
      <color theme="1"/>
      <name val="Gill Sans MT"/>
      <family val="2"/>
      <scheme val="minor"/>
    </font>
    <font>
      <sz val="11"/>
      <color theme="6"/>
      <name val="Gill Sans MT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hair">
        <color theme="0" tint="-0.499984740745262"/>
      </bottom>
      <diagonal/>
    </border>
    <border>
      <left/>
      <right style="dashed">
        <color auto="1"/>
      </right>
      <top style="medium">
        <color auto="1"/>
      </top>
      <bottom style="hair">
        <color theme="0" tint="-0.499984740745262"/>
      </bottom>
      <diagonal/>
    </border>
    <border>
      <left style="dashed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dashed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hair">
        <color theme="0" tint="-0.499984740745262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hair">
        <color theme="0" tint="-0.499984740745262"/>
      </bottom>
      <diagonal/>
    </border>
    <border>
      <left style="medium">
        <color auto="1"/>
      </left>
      <right style="dashed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dashed">
        <color auto="1"/>
      </left>
      <right style="medium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auto="1"/>
      </left>
      <right style="dashed">
        <color auto="1"/>
      </right>
      <top style="hair">
        <color theme="0" tint="-0.499984740745262"/>
      </top>
      <bottom style="medium">
        <color auto="1"/>
      </bottom>
      <diagonal/>
    </border>
    <border>
      <left style="dashed">
        <color auto="1"/>
      </left>
      <right/>
      <top style="hair">
        <color theme="0" tint="-0.499984740745262"/>
      </top>
      <bottom style="medium">
        <color auto="1"/>
      </bottom>
      <diagonal/>
    </border>
    <border>
      <left/>
      <right/>
      <top style="hair">
        <color theme="0" tint="-0.499984740745262"/>
      </top>
      <bottom style="medium">
        <color auto="1"/>
      </bottom>
      <diagonal/>
    </border>
    <border>
      <left/>
      <right style="dashed">
        <color auto="1"/>
      </right>
      <top style="hair">
        <color theme="0" tint="-0.499984740745262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hair">
        <color theme="0" tint="-0.499984740745262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theme="0" tint="-0.499984740745262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double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/>
      <top style="hair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theme="0" tint="-0.499984740745262"/>
      </bottom>
      <diagonal/>
    </border>
    <border>
      <left/>
      <right style="medium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auto="1"/>
      </right>
      <top style="hair">
        <color theme="0" tint="-0.499984740745262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Dashed">
        <color auto="1"/>
      </bottom>
      <diagonal/>
    </border>
    <border>
      <left/>
      <right/>
      <top style="mediumDashed">
        <color auto="1"/>
      </top>
      <bottom style="thin">
        <color theme="0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 style="dashed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85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3" fillId="5" borderId="4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0" xfId="0" applyFont="1"/>
    <xf numFmtId="0" fontId="6" fillId="0" borderId="0" xfId="0" applyFont="1"/>
    <xf numFmtId="0" fontId="0" fillId="0" borderId="29" xfId="0" applyBorder="1"/>
    <xf numFmtId="0" fontId="0" fillId="0" borderId="30" xfId="0" applyBorder="1"/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5" fillId="7" borderId="26" xfId="0" applyFont="1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0" xfId="0" applyFill="1" applyBorder="1"/>
    <xf numFmtId="0" fontId="0" fillId="7" borderId="30" xfId="0" applyFill="1" applyBorder="1"/>
    <xf numFmtId="3" fontId="0" fillId="0" borderId="0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7" borderId="29" xfId="0" applyFont="1" applyFill="1" applyBorder="1"/>
    <xf numFmtId="3" fontId="0" fillId="0" borderId="32" xfId="1" applyNumberFormat="1" applyFont="1" applyBorder="1" applyAlignment="1">
      <alignment horizontal="center"/>
    </xf>
    <xf numFmtId="0" fontId="0" fillId="7" borderId="27" xfId="0" applyFont="1" applyFill="1" applyBorder="1"/>
    <xf numFmtId="0" fontId="0" fillId="7" borderId="0" xfId="0" applyFont="1" applyFill="1" applyBorder="1"/>
    <xf numFmtId="0" fontId="0" fillId="0" borderId="0" xfId="0" applyFont="1" applyBorder="1"/>
    <xf numFmtId="0" fontId="5" fillId="0" borderId="29" xfId="0" applyFont="1" applyBorder="1"/>
    <xf numFmtId="0" fontId="5" fillId="0" borderId="30" xfId="0" applyFont="1" applyBorder="1" applyAlignment="1">
      <alignment horizontal="center"/>
    </xf>
    <xf numFmtId="3" fontId="0" fillId="0" borderId="30" xfId="1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35" xfId="0" applyBorder="1"/>
    <xf numFmtId="0" fontId="3" fillId="0" borderId="35" xfId="0" applyFont="1" applyBorder="1" applyAlignment="1">
      <alignment horizontal="center"/>
    </xf>
    <xf numFmtId="3" fontId="8" fillId="0" borderId="36" xfId="1" applyNumberFormat="1" applyFont="1" applyBorder="1" applyAlignment="1">
      <alignment horizontal="center"/>
    </xf>
    <xf numFmtId="0" fontId="0" fillId="0" borderId="34" xfId="0" applyFont="1" applyBorder="1"/>
    <xf numFmtId="10" fontId="0" fillId="0" borderId="32" xfId="0" applyNumberFormat="1" applyBorder="1" applyAlignment="1">
      <alignment horizontal="center"/>
    </xf>
    <xf numFmtId="0" fontId="0" fillId="0" borderId="31" xfId="0" applyFont="1" applyBorder="1"/>
    <xf numFmtId="0" fontId="0" fillId="0" borderId="0" xfId="0" applyAlignment="1">
      <alignment vertical="center" wrapText="1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/>
    <xf numFmtId="0" fontId="0" fillId="0" borderId="31" xfId="0" applyBorder="1"/>
    <xf numFmtId="0" fontId="3" fillId="0" borderId="32" xfId="0" applyFont="1" applyBorder="1"/>
    <xf numFmtId="3" fontId="9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32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37" xfId="0" applyBorder="1"/>
    <xf numFmtId="0" fontId="0" fillId="0" borderId="38" xfId="0" applyBorder="1"/>
    <xf numFmtId="0" fontId="3" fillId="0" borderId="38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3" fillId="0" borderId="38" xfId="0" applyFont="1" applyBorder="1"/>
    <xf numFmtId="0" fontId="0" fillId="0" borderId="39" xfId="0" applyBorder="1"/>
    <xf numFmtId="0" fontId="0" fillId="0" borderId="38" xfId="0" applyFill="1" applyBorder="1"/>
    <xf numFmtId="0" fontId="0" fillId="0" borderId="32" xfId="0" applyFill="1" applyBorder="1"/>
    <xf numFmtId="0" fontId="0" fillId="0" borderId="31" xfId="0" applyFont="1" applyFill="1" applyBorder="1"/>
    <xf numFmtId="0" fontId="10" fillId="0" borderId="0" xfId="0" applyFont="1" applyBorder="1"/>
    <xf numFmtId="0" fontId="10" fillId="0" borderId="0" xfId="0" applyFont="1"/>
    <xf numFmtId="9" fontId="0" fillId="0" borderId="0" xfId="2" applyFont="1"/>
    <xf numFmtId="0" fontId="0" fillId="0" borderId="0" xfId="0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2" fillId="0" borderId="3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40" xfId="0" applyBorder="1"/>
    <xf numFmtId="1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41" xfId="0" applyBorder="1" applyAlignment="1">
      <alignment wrapText="1"/>
    </xf>
    <xf numFmtId="0" fontId="5" fillId="0" borderId="41" xfId="0" applyFont="1" applyBorder="1" applyAlignment="1">
      <alignment wrapText="1"/>
    </xf>
    <xf numFmtId="10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0" fillId="0" borderId="42" xfId="0" applyBorder="1"/>
    <xf numFmtId="0" fontId="5" fillId="0" borderId="42" xfId="0" applyFont="1" applyBorder="1" applyAlignment="1">
      <alignment horizontal="center" wrapText="1"/>
    </xf>
    <xf numFmtId="0" fontId="5" fillId="0" borderId="43" xfId="0" applyFont="1" applyBorder="1" applyAlignment="1">
      <alignment wrapText="1"/>
    </xf>
    <xf numFmtId="0" fontId="0" fillId="0" borderId="41" xfId="0" applyBorder="1" applyAlignment="1"/>
    <xf numFmtId="0" fontId="5" fillId="0" borderId="41" xfId="0" applyFont="1" applyBorder="1" applyAlignment="1"/>
    <xf numFmtId="0" fontId="3" fillId="7" borderId="0" xfId="0" applyFont="1" applyFill="1" applyBorder="1"/>
    <xf numFmtId="165" fontId="0" fillId="0" borderId="0" xfId="0" applyNumberFormat="1" applyBorder="1" applyAlignment="1">
      <alignment horizontal="center"/>
    </xf>
    <xf numFmtId="0" fontId="0" fillId="0" borderId="29" xfId="0" applyFont="1" applyFill="1" applyBorder="1"/>
    <xf numFmtId="165" fontId="0" fillId="0" borderId="3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3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2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5" fillId="0" borderId="0" xfId="0" applyFont="1"/>
    <xf numFmtId="0" fontId="3" fillId="0" borderId="0" xfId="0" applyFont="1"/>
    <xf numFmtId="167" fontId="0" fillId="0" borderId="32" xfId="0" applyNumberForma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7" xfId="0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32" xfId="0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0" fontId="0" fillId="7" borderId="28" xfId="0" applyFont="1" applyFill="1" applyBorder="1"/>
    <xf numFmtId="0" fontId="0" fillId="7" borderId="30" xfId="0" applyFont="1" applyFill="1" applyBorder="1"/>
    <xf numFmtId="3" fontId="0" fillId="0" borderId="0" xfId="2" applyNumberFormat="1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3" fontId="0" fillId="0" borderId="32" xfId="2" applyNumberFormat="1" applyFont="1" applyBorder="1" applyAlignment="1">
      <alignment horizontal="center"/>
    </xf>
    <xf numFmtId="9" fontId="0" fillId="0" borderId="32" xfId="2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3" fontId="0" fillId="0" borderId="29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0" fontId="3" fillId="8" borderId="4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3" fillId="10" borderId="4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3" fillId="5" borderId="0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8" fontId="0" fillId="0" borderId="0" xfId="0" applyNumberFormat="1"/>
    <xf numFmtId="0" fontId="0" fillId="0" borderId="45" xfId="0" applyBorder="1" applyAlignment="1">
      <alignment horizontal="center"/>
    </xf>
    <xf numFmtId="0" fontId="0" fillId="0" borderId="26" xfId="0" applyBorder="1"/>
    <xf numFmtId="0" fontId="3" fillId="0" borderId="6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62" xfId="0" applyFont="1" applyFill="1" applyBorder="1" applyAlignment="1">
      <alignment horizontal="center" wrapText="1"/>
    </xf>
    <xf numFmtId="0" fontId="0" fillId="0" borderId="63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0" fontId="3" fillId="0" borderId="64" xfId="0" applyFont="1" applyFill="1" applyBorder="1" applyAlignment="1">
      <alignment horizontal="center" wrapText="1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10" fontId="0" fillId="0" borderId="0" xfId="2" applyNumberFormat="1" applyFont="1"/>
    <xf numFmtId="0" fontId="10" fillId="0" borderId="0" xfId="0" applyFont="1" applyAlignment="1">
      <alignment horizontal="center"/>
    </xf>
    <xf numFmtId="0" fontId="14" fillId="0" borderId="0" xfId="0" applyFont="1"/>
    <xf numFmtId="164" fontId="0" fillId="0" borderId="30" xfId="3" applyNumberFormat="1" applyFont="1" applyBorder="1" applyAlignment="1">
      <alignment horizontal="center"/>
    </xf>
    <xf numFmtId="0" fontId="0" fillId="6" borderId="0" xfId="0" applyFill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Fill="1"/>
    <xf numFmtId="0" fontId="5" fillId="0" borderId="56" xfId="0" applyFont="1" applyBorder="1" applyAlignment="1">
      <alignment horizontal="center"/>
    </xf>
    <xf numFmtId="0" fontId="0" fillId="0" borderId="48" xfId="0" applyBorder="1" applyAlignment="1">
      <alignment horizontal="center"/>
    </xf>
    <xf numFmtId="10" fontId="0" fillId="0" borderId="0" xfId="0" applyNumberFormat="1"/>
    <xf numFmtId="169" fontId="0" fillId="0" borderId="0" xfId="0" applyNumberFormat="1"/>
    <xf numFmtId="170" fontId="0" fillId="0" borderId="0" xfId="2" applyNumberFormat="1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5" fillId="0" borderId="0" xfId="0" applyFont="1"/>
    <xf numFmtId="0" fontId="16" fillId="11" borderId="30" xfId="0" applyFont="1" applyFill="1" applyBorder="1" applyAlignment="1">
      <alignment vertical="center"/>
    </xf>
    <xf numFmtId="0" fontId="16" fillId="11" borderId="30" xfId="0" applyFont="1" applyFill="1" applyBorder="1" applyAlignment="1">
      <alignment horizontal="center" vertical="center"/>
    </xf>
    <xf numFmtId="0" fontId="17" fillId="11" borderId="65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vertical="center" wrapText="1"/>
    </xf>
    <xf numFmtId="0" fontId="17" fillId="11" borderId="30" xfId="0" applyFont="1" applyFill="1" applyBorder="1" applyAlignment="1">
      <alignment horizontal="center" vertical="center" wrapText="1"/>
    </xf>
    <xf numFmtId="0" fontId="17" fillId="11" borderId="65" xfId="0" applyFont="1" applyFill="1" applyBorder="1" applyAlignment="1">
      <alignment horizontal="center" vertical="center" wrapText="1"/>
    </xf>
    <xf numFmtId="0" fontId="17" fillId="11" borderId="29" xfId="0" applyFont="1" applyFill="1" applyBorder="1" applyAlignment="1">
      <alignment horizontal="center" vertical="center" wrapText="1"/>
    </xf>
    <xf numFmtId="0" fontId="17" fillId="11" borderId="0" xfId="0" applyFont="1" applyFill="1" applyBorder="1" applyAlignment="1">
      <alignment horizontal="center" vertical="center" wrapText="1"/>
    </xf>
    <xf numFmtId="0" fontId="18" fillId="11" borderId="65" xfId="0" applyFont="1" applyFill="1" applyBorder="1" applyAlignment="1">
      <alignment horizontal="center" vertical="center" wrapText="1"/>
    </xf>
    <xf numFmtId="0" fontId="18" fillId="11" borderId="29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 wrapText="1"/>
    </xf>
    <xf numFmtId="0" fontId="18" fillId="11" borderId="30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3" fontId="17" fillId="0" borderId="65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7" fillId="12" borderId="0" xfId="0" applyNumberFormat="1" applyFont="1" applyFill="1" applyAlignment="1">
      <alignment horizontal="center" vertical="center"/>
    </xf>
    <xf numFmtId="3" fontId="17" fillId="0" borderId="29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164" fontId="17" fillId="12" borderId="0" xfId="0" applyNumberFormat="1" applyFont="1" applyFill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/>
    </xf>
    <xf numFmtId="3" fontId="17" fillId="0" borderId="65" xfId="0" applyNumberFormat="1" applyFont="1" applyFill="1" applyBorder="1" applyAlignment="1">
      <alignment horizontal="center" vertical="center"/>
    </xf>
    <xf numFmtId="0" fontId="17" fillId="12" borderId="29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horizontal="center" vertical="center"/>
    </xf>
    <xf numFmtId="166" fontId="17" fillId="12" borderId="30" xfId="0" applyNumberFormat="1" applyFont="1" applyFill="1" applyBorder="1" applyAlignment="1">
      <alignment horizontal="center" vertical="center"/>
    </xf>
    <xf numFmtId="3" fontId="17" fillId="12" borderId="0" xfId="0" applyNumberFormat="1" applyFont="1" applyFill="1" applyBorder="1" applyAlignment="1">
      <alignment horizontal="center" vertical="center"/>
    </xf>
    <xf numFmtId="164" fontId="17" fillId="0" borderId="30" xfId="0" applyNumberFormat="1" applyFont="1" applyBorder="1" applyAlignment="1">
      <alignment horizontal="center" vertical="center"/>
    </xf>
    <xf numFmtId="1" fontId="17" fillId="0" borderId="29" xfId="0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" fontId="17" fillId="12" borderId="65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/>
    </xf>
    <xf numFmtId="3" fontId="10" fillId="4" borderId="8" xfId="0" applyNumberFormat="1" applyFont="1" applyFill="1" applyBorder="1" applyAlignment="1">
      <alignment horizontal="center"/>
    </xf>
    <xf numFmtId="3" fontId="10" fillId="4" borderId="22" xfId="0" applyNumberFormat="1" applyFont="1" applyFill="1" applyBorder="1" applyAlignment="1">
      <alignment horizontal="center"/>
    </xf>
    <xf numFmtId="0" fontId="3" fillId="5" borderId="68" xfId="0" applyFont="1" applyFill="1" applyBorder="1" applyAlignment="1">
      <alignment horizontal="center" wrapText="1"/>
    </xf>
    <xf numFmtId="1" fontId="10" fillId="4" borderId="6" xfId="0" applyNumberFormat="1" applyFont="1" applyFill="1" applyBorder="1" applyAlignment="1">
      <alignment horizontal="center"/>
    </xf>
    <xf numFmtId="9" fontId="0" fillId="0" borderId="69" xfId="2" applyFont="1" applyBorder="1" applyAlignment="1">
      <alignment horizontal="center"/>
    </xf>
    <xf numFmtId="9" fontId="0" fillId="0" borderId="70" xfId="2" applyFont="1" applyBorder="1" applyAlignment="1">
      <alignment horizontal="center"/>
    </xf>
    <xf numFmtId="0" fontId="0" fillId="0" borderId="0" xfId="0" quotePrefix="1"/>
    <xf numFmtId="170" fontId="0" fillId="0" borderId="0" xfId="2" applyNumberFormat="1" applyFont="1" applyAlignment="1">
      <alignment horizontal="center"/>
    </xf>
    <xf numFmtId="0" fontId="19" fillId="0" borderId="0" xfId="0" applyFont="1"/>
    <xf numFmtId="9" fontId="0" fillId="0" borderId="0" xfId="2" applyFont="1" applyAlignment="1">
      <alignment horizontal="center"/>
    </xf>
    <xf numFmtId="0" fontId="2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21" fillId="0" borderId="0" xfId="0" applyFont="1" applyAlignment="1">
      <alignment horizontal="center"/>
    </xf>
    <xf numFmtId="9" fontId="0" fillId="0" borderId="71" xfId="2" applyNumberFormat="1" applyFont="1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3" fontId="0" fillId="0" borderId="49" xfId="0" applyNumberFormat="1" applyFill="1" applyBorder="1" applyAlignment="1">
      <alignment horizontal="center"/>
    </xf>
    <xf numFmtId="3" fontId="0" fillId="0" borderId="46" xfId="0" applyNumberFormat="1" applyFill="1" applyBorder="1" applyAlignment="1">
      <alignment horizontal="center"/>
    </xf>
    <xf numFmtId="3" fontId="0" fillId="0" borderId="50" xfId="0" applyNumberFormat="1" applyFill="1" applyBorder="1" applyAlignment="1">
      <alignment horizontal="center"/>
    </xf>
    <xf numFmtId="3" fontId="0" fillId="0" borderId="51" xfId="0" applyNumberFormat="1" applyFill="1" applyBorder="1" applyAlignment="1">
      <alignment horizontal="center"/>
    </xf>
    <xf numFmtId="3" fontId="0" fillId="0" borderId="52" xfId="0" applyNumberFormat="1" applyFill="1" applyBorder="1" applyAlignment="1">
      <alignment horizontal="center"/>
    </xf>
    <xf numFmtId="3" fontId="0" fillId="0" borderId="53" xfId="0" applyNumberFormat="1" applyFill="1" applyBorder="1" applyAlignment="1">
      <alignment horizontal="center"/>
    </xf>
    <xf numFmtId="3" fontId="0" fillId="0" borderId="54" xfId="0" applyNumberFormat="1" applyFill="1" applyBorder="1" applyAlignment="1">
      <alignment horizontal="center"/>
    </xf>
    <xf numFmtId="3" fontId="0" fillId="0" borderId="55" xfId="0" applyNumberFormat="1" applyFill="1" applyBorder="1" applyAlignment="1">
      <alignment horizontal="center"/>
    </xf>
    <xf numFmtId="9" fontId="0" fillId="0" borderId="2" xfId="2" applyFont="1" applyBorder="1" applyAlignment="1">
      <alignment horizontal="center"/>
    </xf>
    <xf numFmtId="9" fontId="0" fillId="0" borderId="3" xfId="2" applyFont="1" applyBorder="1" applyAlignment="1">
      <alignment horizontal="center"/>
    </xf>
    <xf numFmtId="9" fontId="0" fillId="0" borderId="23" xfId="2" applyFont="1" applyBorder="1" applyAlignment="1">
      <alignment horizontal="center"/>
    </xf>
    <xf numFmtId="164" fontId="0" fillId="6" borderId="18" xfId="0" applyNumberFormat="1" applyFill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164" fontId="0" fillId="6" borderId="25" xfId="0" applyNumberFormat="1" applyFill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3" fontId="0" fillId="0" borderId="31" xfId="0" applyNumberFormat="1" applyFill="1" applyBorder="1" applyAlignment="1">
      <alignment horizontal="center"/>
    </xf>
    <xf numFmtId="3" fontId="0" fillId="0" borderId="32" xfId="0" applyNumberForma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8" fontId="0" fillId="0" borderId="32" xfId="0" applyNumberFormat="1" applyFill="1" applyBorder="1" applyAlignment="1">
      <alignment horizontal="center"/>
    </xf>
    <xf numFmtId="168" fontId="0" fillId="0" borderId="29" xfId="0" applyNumberFormat="1" applyFill="1" applyBorder="1" applyAlignment="1">
      <alignment horizontal="center"/>
    </xf>
    <xf numFmtId="168" fontId="0" fillId="0" borderId="31" xfId="0" applyNumberFormat="1" applyFill="1" applyBorder="1" applyAlignment="1">
      <alignment horizontal="center"/>
    </xf>
    <xf numFmtId="0" fontId="3" fillId="5" borderId="0" xfId="0" applyFont="1" applyFill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9" fontId="0" fillId="0" borderId="70" xfId="2" applyNumberFormat="1" applyFon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30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0" fontId="0" fillId="13" borderId="72" xfId="0" applyFill="1" applyBorder="1"/>
    <xf numFmtId="0" fontId="0" fillId="13" borderId="73" xfId="0" applyFill="1" applyBorder="1"/>
    <xf numFmtId="0" fontId="0" fillId="14" borderId="72" xfId="0" applyFill="1" applyBorder="1"/>
    <xf numFmtId="0" fontId="0" fillId="14" borderId="73" xfId="0" applyFill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5" fillId="0" borderId="0" xfId="0" applyFont="1" applyBorder="1" applyAlignment="1">
      <alignment horizontal="center"/>
    </xf>
    <xf numFmtId="3" fontId="0" fillId="0" borderId="30" xfId="0" applyNumberFormat="1" applyFill="1" applyBorder="1" applyAlignment="1">
      <alignment horizontal="center"/>
    </xf>
    <xf numFmtId="3" fontId="0" fillId="0" borderId="33" xfId="0" applyNumberFormat="1" applyFill="1" applyBorder="1" applyAlignment="1">
      <alignment horizontal="center"/>
    </xf>
    <xf numFmtId="168" fontId="0" fillId="0" borderId="30" xfId="0" applyNumberFormat="1" applyFill="1" applyBorder="1" applyAlignment="1">
      <alignment horizontal="center"/>
    </xf>
    <xf numFmtId="168" fontId="0" fillId="0" borderId="33" xfId="0" applyNumberFormat="1" applyFill="1" applyBorder="1" applyAlignment="1">
      <alignment horizontal="center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164" fontId="0" fillId="0" borderId="0" xfId="0" applyNumberFormat="1" applyFill="1" applyBorder="1" applyAlignment="1">
      <alignment horizontal="center"/>
    </xf>
    <xf numFmtId="164" fontId="0" fillId="0" borderId="32" xfId="0" applyNumberForma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78" xfId="0" applyBorder="1" applyAlignment="1">
      <alignment horizontal="center"/>
    </xf>
    <xf numFmtId="3" fontId="0" fillId="0" borderId="78" xfId="0" applyNumberFormat="1" applyBorder="1" applyAlignment="1">
      <alignment horizontal="center"/>
    </xf>
    <xf numFmtId="170" fontId="0" fillId="0" borderId="0" xfId="2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70" fontId="0" fillId="0" borderId="59" xfId="2" applyNumberFormat="1" applyFont="1" applyBorder="1" applyAlignment="1">
      <alignment horizontal="center"/>
    </xf>
    <xf numFmtId="170" fontId="0" fillId="0" borderId="78" xfId="2" applyNumberFormat="1" applyFont="1" applyBorder="1" applyAlignment="1">
      <alignment horizontal="center"/>
    </xf>
    <xf numFmtId="0" fontId="0" fillId="0" borderId="0" xfId="0" applyAlignment="1"/>
    <xf numFmtId="167" fontId="8" fillId="0" borderId="32" xfId="0" applyNumberFormat="1" applyFon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9" fontId="0" fillId="0" borderId="0" xfId="2" applyNumberFormat="1" applyFont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0" borderId="32" xfId="2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6" fontId="0" fillId="0" borderId="33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24" xfId="0" applyNumberFormat="1" applyFill="1" applyBorder="1" applyAlignment="1">
      <alignment horizontal="center"/>
    </xf>
    <xf numFmtId="0" fontId="3" fillId="10" borderId="5" xfId="0" applyFont="1" applyFill="1" applyBorder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0" fontId="23" fillId="10" borderId="4" xfId="0" applyFont="1" applyFill="1" applyBorder="1" applyAlignment="1">
      <alignment horizontal="center" wrapText="1"/>
    </xf>
    <xf numFmtId="0" fontId="23" fillId="9" borderId="4" xfId="0" applyFont="1" applyFill="1" applyBorder="1" applyAlignment="1">
      <alignment horizontal="center" wrapText="1"/>
    </xf>
    <xf numFmtId="0" fontId="19" fillId="0" borderId="0" xfId="0" applyFont="1" applyFill="1"/>
    <xf numFmtId="0" fontId="22" fillId="0" borderId="0" xfId="0" applyFont="1" applyFill="1"/>
    <xf numFmtId="1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9" borderId="68" xfId="0" applyFont="1" applyFill="1" applyBorder="1" applyAlignment="1">
      <alignment horizontal="center" wrapText="1"/>
    </xf>
    <xf numFmtId="3" fontId="0" fillId="0" borderId="69" xfId="0" applyNumberFormat="1" applyBorder="1" applyAlignment="1">
      <alignment horizontal="center"/>
    </xf>
    <xf numFmtId="3" fontId="0" fillId="0" borderId="70" xfId="0" applyNumberFormat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164" fontId="0" fillId="0" borderId="0" xfId="0" applyNumberFormat="1"/>
    <xf numFmtId="1" fontId="0" fillId="0" borderId="0" xfId="0" applyNumberFormat="1"/>
    <xf numFmtId="14" fontId="0" fillId="0" borderId="0" xfId="0" applyNumberFormat="1"/>
    <xf numFmtId="168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167" fontId="0" fillId="0" borderId="0" xfId="0" applyNumberFormat="1"/>
    <xf numFmtId="0" fontId="0" fillId="0" borderId="27" xfId="0" applyBorder="1"/>
    <xf numFmtId="1" fontId="0" fillId="5" borderId="0" xfId="0" applyNumberFormat="1" applyFill="1" applyBorder="1" applyAlignment="1">
      <alignment horizontal="center"/>
    </xf>
    <xf numFmtId="0" fontId="0" fillId="0" borderId="79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168" fontId="0" fillId="0" borderId="27" xfId="0" applyNumberFormat="1" applyBorder="1" applyAlignment="1">
      <alignment horizontal="center"/>
    </xf>
    <xf numFmtId="168" fontId="0" fillId="5" borderId="32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80" xfId="0" applyFill="1" applyBorder="1"/>
    <xf numFmtId="0" fontId="0" fillId="0" borderId="33" xfId="0" applyBorder="1" applyAlignment="1">
      <alignment horizontal="center"/>
    </xf>
    <xf numFmtId="167" fontId="0" fillId="0" borderId="29" xfId="0" applyNumberFormat="1" applyBorder="1" applyAlignment="1">
      <alignment horizontal="center"/>
    </xf>
    <xf numFmtId="167" fontId="0" fillId="0" borderId="30" xfId="0" applyNumberFormat="1" applyBorder="1" applyAlignment="1">
      <alignment horizontal="center"/>
    </xf>
    <xf numFmtId="167" fontId="0" fillId="5" borderId="29" xfId="0" applyNumberFormat="1" applyFill="1" applyBorder="1" applyAlignment="1">
      <alignment horizontal="center"/>
    </xf>
    <xf numFmtId="167" fontId="0" fillId="5" borderId="0" xfId="0" applyNumberFormat="1" applyFill="1" applyBorder="1" applyAlignment="1">
      <alignment horizontal="center"/>
    </xf>
    <xf numFmtId="167" fontId="0" fillId="5" borderId="30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5" borderId="29" xfId="0" applyNumberFormat="1" applyFill="1" applyBorder="1" applyAlignment="1">
      <alignment horizontal="center"/>
    </xf>
    <xf numFmtId="1" fontId="0" fillId="5" borderId="30" xfId="0" applyNumberFormat="1" applyFill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5" borderId="32" xfId="0" applyNumberFormat="1" applyFill="1" applyBorder="1" applyAlignment="1">
      <alignment horizontal="center"/>
    </xf>
    <xf numFmtId="164" fontId="0" fillId="5" borderId="29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30" xfId="0" applyNumberFormat="1" applyFill="1" applyBorder="1" applyAlignment="1">
      <alignment horizontal="center"/>
    </xf>
    <xf numFmtId="164" fontId="0" fillId="0" borderId="79" xfId="0" applyNumberFormat="1" applyBorder="1" applyAlignment="1">
      <alignment horizontal="center"/>
    </xf>
    <xf numFmtId="164" fontId="0" fillId="5" borderId="79" xfId="0" applyNumberFormat="1" applyFill="1" applyBorder="1" applyAlignment="1">
      <alignment horizontal="center"/>
    </xf>
    <xf numFmtId="164" fontId="0" fillId="5" borderId="80" xfId="0" applyNumberFormat="1" applyFill="1" applyBorder="1" applyAlignment="1">
      <alignment horizontal="center"/>
    </xf>
    <xf numFmtId="168" fontId="0" fillId="0" borderId="79" xfId="0" applyNumberFormat="1" applyBorder="1" applyAlignment="1">
      <alignment horizontal="center"/>
    </xf>
    <xf numFmtId="168" fontId="0" fillId="5" borderId="79" xfId="0" applyNumberFormat="1" applyFill="1" applyBorder="1" applyAlignment="1">
      <alignment horizontal="center"/>
    </xf>
    <xf numFmtId="168" fontId="0" fillId="5" borderId="0" xfId="0" applyNumberFormat="1" applyFill="1" applyBorder="1" applyAlignment="1">
      <alignment horizontal="center"/>
    </xf>
    <xf numFmtId="168" fontId="0" fillId="5" borderId="8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9" fontId="0" fillId="0" borderId="0" xfId="2" applyNumberFormat="1" applyFont="1"/>
    <xf numFmtId="0" fontId="0" fillId="0" borderId="79" xfId="0" applyFill="1" applyBorder="1" applyAlignment="1">
      <alignment horizontal="center"/>
    </xf>
    <xf numFmtId="168" fontId="0" fillId="0" borderId="27" xfId="0" applyNumberFormat="1" applyFill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9" fillId="0" borderId="5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78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7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1" fillId="9" borderId="67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6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30" xfId="0" applyFont="1" applyBorder="1" applyAlignment="1">
      <alignment horizontal="center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17" fillId="11" borderId="29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0" xfId="0" applyBorder="1" applyAlignment="1">
      <alignment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33"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  <dxf>
      <font>
        <color rgb="FF00B05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79979012340578493"/>
          <c:h val="0.7842650878189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Charts!$AJ$3:$AQ$3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Charts!$AJ$4:$AQ$4</c:f>
              <c:numCache>
                <c:formatCode>#,##0</c:formatCode>
                <c:ptCount val="8"/>
                <c:pt idx="0">
                  <c:v>416.75783869987492</c:v>
                </c:pt>
                <c:pt idx="1">
                  <c:v>427.05208869987496</c:v>
                </c:pt>
                <c:pt idx="2">
                  <c:v>417.08774869987496</c:v>
                </c:pt>
                <c:pt idx="3">
                  <c:v>416.75783869987492</c:v>
                </c:pt>
                <c:pt idx="4">
                  <c:v>417.0945516998749</c:v>
                </c:pt>
                <c:pt idx="5">
                  <c:v>417.0945516998749</c:v>
                </c:pt>
                <c:pt idx="6">
                  <c:v>417.49346889987493</c:v>
                </c:pt>
                <c:pt idx="7">
                  <c:v>417.0945516998749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48864"/>
        <c:axId val="163846784"/>
      </c:barChart>
      <c:catAx>
        <c:axId val="15814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3846784"/>
        <c:crosses val="autoZero"/>
        <c:auto val="1"/>
        <c:lblAlgn val="ctr"/>
        <c:lblOffset val="100"/>
        <c:noMultiLvlLbl val="0"/>
      </c:catAx>
      <c:valAx>
        <c:axId val="163846784"/>
        <c:scaling>
          <c:orientation val="minMax"/>
          <c:max val="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Annual NG Consumption </a:t>
                </a:r>
                <a:br>
                  <a:rPr lang="en-US" sz="1200" b="0"/>
                </a:br>
                <a:r>
                  <a:rPr lang="en-US" sz="1200" b="0"/>
                  <a:t>(Trillion Btu)</a:t>
                </a:r>
              </a:p>
            </c:rich>
          </c:tx>
          <c:layout>
            <c:manualLayout>
              <c:xMode val="edge"/>
              <c:yMode val="edge"/>
              <c:x val="3.2331406710267012E-2"/>
              <c:y val="0.2244356997457011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814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79979012340578493"/>
          <c:h val="0.78426508781899307"/>
        </c:manualLayout>
      </c:layout>
      <c:lineChart>
        <c:grouping val="standard"/>
        <c:varyColors val="0"/>
        <c:ser>
          <c:idx val="2"/>
          <c:order val="0"/>
          <c:marker>
            <c:symbol val="circle"/>
            <c:size val="5"/>
          </c:marker>
          <c:dLbls>
            <c:dLbl>
              <c:idx val="5"/>
              <c:layout>
                <c:manualLayout>
                  <c:x val="-0.15847781629187721"/>
                  <c:y val="8.0952382470048049E-3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2020 GWSA Target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9.5110288497688461E-2"/>
                  <c:y val="3.6428572111521784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2030 GWSA Target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Charts!$AJ$152:$AJ$167</c:f>
                <c:numCache>
                  <c:formatCode>General</c:formatCode>
                  <c:ptCount val="16"/>
                  <c:pt idx="5">
                    <c:v>23.326496260794567</c:v>
                  </c:pt>
                  <c:pt idx="15">
                    <c:v>18.676721162166132</c:v>
                  </c:pt>
                </c:numCache>
              </c:numRef>
            </c:minus>
            <c:spPr>
              <a:ln w="41275">
                <a:solidFill>
                  <a:schemeClr val="accent3"/>
                </a:solidFill>
              </a:ln>
            </c:spPr>
          </c:errBars>
          <c:cat>
            <c:numRef>
              <c:f>Charts!$AI$152:$AI$167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Charts!$AJ$152:$AJ$168</c:f>
              <c:numCache>
                <c:formatCode>General</c:formatCode>
                <c:ptCount val="17"/>
                <c:pt idx="5" formatCode="#,##0">
                  <c:v>23.326496260794567</c:v>
                </c:pt>
                <c:pt idx="15" formatCode="#,##0">
                  <c:v>18.676721162166132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Charts!$AM$117</c:f>
              <c:strCache>
                <c:ptCount val="1"/>
                <c:pt idx="0">
                  <c:v>Scen 4</c:v>
                </c:pt>
              </c:strCache>
            </c:strRef>
          </c:tx>
          <c:marker>
            <c:symbol val="none"/>
          </c:marker>
          <c:dLbls>
            <c:dLbl>
              <c:idx val="10"/>
              <c:layout>
                <c:manualLayout>
                  <c:x val="-0.13432102029771079"/>
                  <c:y val="-3.6428572111521784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Base Case</a:t>
                    </a:r>
                    <a:r>
                      <a:rPr lang="en-US" b="1" baseline="0">
                        <a:solidFill>
                          <a:schemeClr val="accent4"/>
                        </a:solidFill>
                      </a:rPr>
                      <a:t> + Hydro</a:t>
                    </a:r>
                    <a:endParaRPr lang="en-US" b="1">
                      <a:solidFill>
                        <a:schemeClr val="accent4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Charts!$AI$152:$AI$167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S4_BaseRefNGHydro!$P$29:$P$44</c:f>
              <c:numCache>
                <c:formatCode>#,##0</c:formatCode>
                <c:ptCount val="16"/>
                <c:pt idx="0">
                  <c:v>30.630225842198676</c:v>
                </c:pt>
                <c:pt idx="1">
                  <c:v>30.688670850116424</c:v>
                </c:pt>
                <c:pt idx="2">
                  <c:v>30.134720440209932</c:v>
                </c:pt>
                <c:pt idx="3">
                  <c:v>27.204042197736335</c:v>
                </c:pt>
                <c:pt idx="4">
                  <c:v>27.481502302878276</c:v>
                </c:pt>
                <c:pt idx="5">
                  <c:v>27.068804555636255</c:v>
                </c:pt>
                <c:pt idx="6">
                  <c:v>26.916889814398964</c:v>
                </c:pt>
                <c:pt idx="7">
                  <c:v>24.715074298004243</c:v>
                </c:pt>
                <c:pt idx="8">
                  <c:v>24.837768852399208</c:v>
                </c:pt>
                <c:pt idx="9">
                  <c:v>24.682529966013377</c:v>
                </c:pt>
                <c:pt idx="10">
                  <c:v>24.822133743499862</c:v>
                </c:pt>
                <c:pt idx="11">
                  <c:v>24.660399503455849</c:v>
                </c:pt>
                <c:pt idx="12">
                  <c:v>24.722051087426987</c:v>
                </c:pt>
                <c:pt idx="13">
                  <c:v>24.825347446972167</c:v>
                </c:pt>
                <c:pt idx="14">
                  <c:v>25.137872406796074</c:v>
                </c:pt>
                <c:pt idx="15">
                  <c:v>24.974301648493562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Charts!$AQ$117</c:f>
              <c:strCache>
                <c:ptCount val="1"/>
                <c:pt idx="0">
                  <c:v>Scen 8</c:v>
                </c:pt>
              </c:strCache>
            </c:strRef>
          </c:tx>
          <c:spPr>
            <a:ln>
              <a:solidFill>
                <a:schemeClr val="accent4"/>
              </a:solidFill>
              <a:prstDash val="sysDash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0.26654327465326982"/>
                  <c:y val="6.8809206389373948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Low</a:t>
                    </a:r>
                    <a:r>
                      <a:rPr lang="en-US" b="1" baseline="0">
                        <a:solidFill>
                          <a:schemeClr val="accent4"/>
                        </a:solidFill>
                      </a:rPr>
                      <a:t> Demand + Hydro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Charts!$AI$152:$AI$167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S8_LowRefNGHydro!$P$29:$P$44</c:f>
              <c:numCache>
                <c:formatCode>#,##0</c:formatCode>
                <c:ptCount val="16"/>
                <c:pt idx="0">
                  <c:v>30.694014888860618</c:v>
                </c:pt>
                <c:pt idx="1">
                  <c:v>30.3185687508104</c:v>
                </c:pt>
                <c:pt idx="2">
                  <c:v>29.37296785337179</c:v>
                </c:pt>
                <c:pt idx="3">
                  <c:v>26.062785869136384</c:v>
                </c:pt>
                <c:pt idx="4">
                  <c:v>25.882533883579434</c:v>
                </c:pt>
                <c:pt idx="5">
                  <c:v>24.961516642509338</c:v>
                </c:pt>
                <c:pt idx="6">
                  <c:v>24.035642565245126</c:v>
                </c:pt>
                <c:pt idx="7">
                  <c:v>21.135740382092706</c:v>
                </c:pt>
                <c:pt idx="8">
                  <c:v>20.442652527476255</c:v>
                </c:pt>
                <c:pt idx="9">
                  <c:v>19.666526322341277</c:v>
                </c:pt>
                <c:pt idx="10">
                  <c:v>18.975977557966836</c:v>
                </c:pt>
                <c:pt idx="11">
                  <c:v>18.168572102443171</c:v>
                </c:pt>
                <c:pt idx="12">
                  <c:v>17.450266226053117</c:v>
                </c:pt>
                <c:pt idx="13">
                  <c:v>16.92487907655287</c:v>
                </c:pt>
                <c:pt idx="14">
                  <c:v>16.425620161539776</c:v>
                </c:pt>
                <c:pt idx="15">
                  <c:v>15.623256431578771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37024"/>
        <c:axId val="130342912"/>
      </c:lineChart>
      <c:catAx>
        <c:axId val="13033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0342912"/>
        <c:crosses val="autoZero"/>
        <c:auto val="1"/>
        <c:lblAlgn val="ctr"/>
        <c:lblOffset val="100"/>
        <c:noMultiLvlLbl val="0"/>
      </c:catAx>
      <c:valAx>
        <c:axId val="130342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 i="0" baseline="0">
                    <a:effectLst/>
                  </a:rPr>
                  <a:t>Annual CO</a:t>
                </a:r>
                <a:r>
                  <a:rPr lang="en-US" sz="1200" b="0" i="0" baseline="-25000">
                    <a:effectLst/>
                  </a:rPr>
                  <a:t>2</a:t>
                </a:r>
                <a:r>
                  <a:rPr lang="en-US" sz="1200" b="0" i="0" baseline="0">
                    <a:effectLst/>
                  </a:rPr>
                  <a:t> Emissions</a:t>
                </a:r>
                <a:br>
                  <a:rPr lang="en-US" sz="1200" b="0" i="0" baseline="0">
                    <a:effectLst/>
                  </a:rPr>
                </a:br>
                <a:r>
                  <a:rPr lang="en-US" sz="1200" b="0" i="0" baseline="0">
                    <a:effectLst/>
                  </a:rPr>
                  <a:t>(Million Metric Tons)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3936342941660093E-2"/>
              <c:y val="0.227997604574383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30337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6990493581825018"/>
          <c:h val="0.78426508781899307"/>
        </c:manualLayout>
      </c:layout>
      <c:lineChart>
        <c:grouping val="standard"/>
        <c:varyColors val="0"/>
        <c:ser>
          <c:idx val="0"/>
          <c:order val="0"/>
          <c:tx>
            <c:strRef>
              <c:f>Charts!$AN$15</c:f>
              <c:strCache>
                <c:ptCount val="1"/>
                <c:pt idx="0">
                  <c:v>Scen 5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4.1975318843034621E-3"/>
                  <c:y val="-4.047619123502420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Scenario 5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Charts!$AN$16:$AN$31</c:f>
              <c:numCache>
                <c:formatCode>"$"#,##0</c:formatCode>
                <c:ptCount val="16"/>
                <c:pt idx="0">
                  <c:v>11.287427640083779</c:v>
                </c:pt>
                <c:pt idx="1">
                  <c:v>13.999323889352766</c:v>
                </c:pt>
                <c:pt idx="2">
                  <c:v>63.819087618632537</c:v>
                </c:pt>
                <c:pt idx="3">
                  <c:v>84.70016867664819</c:v>
                </c:pt>
                <c:pt idx="4">
                  <c:v>80.184125733472143</c:v>
                </c:pt>
                <c:pt idx="5">
                  <c:v>24.282940431652023</c:v>
                </c:pt>
                <c:pt idx="6">
                  <c:v>52.316333861813121</c:v>
                </c:pt>
                <c:pt idx="7">
                  <c:v>76.250298234775357</c:v>
                </c:pt>
                <c:pt idx="8">
                  <c:v>99.635934634507748</c:v>
                </c:pt>
                <c:pt idx="9">
                  <c:v>120.3620544481771</c:v>
                </c:pt>
                <c:pt idx="10">
                  <c:v>136.3678141471969</c:v>
                </c:pt>
                <c:pt idx="11">
                  <c:v>156.10875766015806</c:v>
                </c:pt>
                <c:pt idx="12">
                  <c:v>173.19121149115472</c:v>
                </c:pt>
                <c:pt idx="13">
                  <c:v>178.33279232156815</c:v>
                </c:pt>
                <c:pt idx="14">
                  <c:v>184.51009650876381</c:v>
                </c:pt>
                <c:pt idx="15">
                  <c:v>181.98295562400506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Charts!$AO$15</c:f>
              <c:strCache>
                <c:ptCount val="1"/>
                <c:pt idx="0">
                  <c:v>Scen 6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2.098765942151731E-3"/>
                  <c:y val="2.0238095617512105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/>
                        </a:solidFill>
                      </a:defRPr>
                    </a:pPr>
                    <a:r>
                      <a:rPr lang="en-US"/>
                      <a:t>Scenario 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Charts!$AO$16:$AO$31</c:f>
              <c:numCache>
                <c:formatCode>"$"#,##0</c:formatCode>
                <c:ptCount val="16"/>
                <c:pt idx="0">
                  <c:v>99.498301125989499</c:v>
                </c:pt>
                <c:pt idx="1">
                  <c:v>72.941837890252657</c:v>
                </c:pt>
                <c:pt idx="2">
                  <c:v>-69.830674020813561</c:v>
                </c:pt>
                <c:pt idx="3">
                  <c:v>-123.15186391794346</c:v>
                </c:pt>
                <c:pt idx="4">
                  <c:v>-123.05610668157183</c:v>
                </c:pt>
                <c:pt idx="5">
                  <c:v>-57.888626993230758</c:v>
                </c:pt>
                <c:pt idx="6">
                  <c:v>-69.738674124301554</c:v>
                </c:pt>
                <c:pt idx="7">
                  <c:v>-34.230030855558681</c:v>
                </c:pt>
                <c:pt idx="8">
                  <c:v>4.4567262463092447</c:v>
                </c:pt>
                <c:pt idx="9">
                  <c:v>33.529894197421129</c:v>
                </c:pt>
                <c:pt idx="10">
                  <c:v>65.432644119790098</c:v>
                </c:pt>
                <c:pt idx="11">
                  <c:v>101.60877385480046</c:v>
                </c:pt>
                <c:pt idx="12">
                  <c:v>136.81626090690969</c:v>
                </c:pt>
                <c:pt idx="13">
                  <c:v>162.79714281323072</c:v>
                </c:pt>
                <c:pt idx="14">
                  <c:v>159.15403584202818</c:v>
                </c:pt>
                <c:pt idx="15">
                  <c:v>130.22357481847507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Charts!$AP$15</c:f>
              <c:strCache>
                <c:ptCount val="1"/>
                <c:pt idx="0">
                  <c:v>Scen 7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dLbls>
            <c:dLbl>
              <c:idx val="15"/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/>
                      <a:t>Scenario 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Charts!$AP$16:$AP$31</c:f>
              <c:numCache>
                <c:formatCode>"$"#,##0</c:formatCode>
                <c:ptCount val="16"/>
                <c:pt idx="0">
                  <c:v>11.873801984875836</c:v>
                </c:pt>
                <c:pt idx="1">
                  <c:v>51.312458148124463</c:v>
                </c:pt>
                <c:pt idx="2">
                  <c:v>168.27903932771989</c:v>
                </c:pt>
                <c:pt idx="3">
                  <c:v>122.89363142526204</c:v>
                </c:pt>
                <c:pt idx="4">
                  <c:v>203.82069426302161</c:v>
                </c:pt>
                <c:pt idx="5">
                  <c:v>341.25954565303186</c:v>
                </c:pt>
                <c:pt idx="6">
                  <c:v>521.0918601066096</c:v>
                </c:pt>
                <c:pt idx="7">
                  <c:v>789.79453212627539</c:v>
                </c:pt>
                <c:pt idx="8">
                  <c:v>1052.8564467179822</c:v>
                </c:pt>
                <c:pt idx="9">
                  <c:v>1292.3434670023325</c:v>
                </c:pt>
                <c:pt idx="10">
                  <c:v>1591.2225108979108</c:v>
                </c:pt>
                <c:pt idx="11">
                  <c:v>1850.1753613998067</c:v>
                </c:pt>
                <c:pt idx="12">
                  <c:v>2084.2918385665625</c:v>
                </c:pt>
                <c:pt idx="13">
                  <c:v>2324.1004704175011</c:v>
                </c:pt>
                <c:pt idx="14">
                  <c:v>2514.2473202404681</c:v>
                </c:pt>
                <c:pt idx="15">
                  <c:v>2668.2931068534053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Charts!$AQ$15</c:f>
              <c:strCache>
                <c:ptCount val="1"/>
                <c:pt idx="0">
                  <c:v>Scen 8</c:v>
                </c:pt>
              </c:strCache>
            </c:strRef>
          </c:tx>
          <c:marker>
            <c:symbol val="none"/>
          </c:marker>
          <c:dLbls>
            <c:dLbl>
              <c:idx val="15"/>
              <c:layout>
                <c:manualLayout>
                  <c:x val="-4.1975318843034621E-3"/>
                  <c:y val="-3.6428572111521784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Scenario 8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Charts!$AQ$16:$AQ$31</c:f>
              <c:numCache>
                <c:formatCode>"$"#,##0</c:formatCode>
                <c:ptCount val="16"/>
                <c:pt idx="0">
                  <c:v>11.287427640083779</c:v>
                </c:pt>
                <c:pt idx="1">
                  <c:v>14.016703480209983</c:v>
                </c:pt>
                <c:pt idx="2">
                  <c:v>63.853849066258434</c:v>
                </c:pt>
                <c:pt idx="3">
                  <c:v>41.752493393755032</c:v>
                </c:pt>
                <c:pt idx="4">
                  <c:v>39.498243944281484</c:v>
                </c:pt>
                <c:pt idx="5">
                  <c:v>50.976482524792971</c:v>
                </c:pt>
                <c:pt idx="6">
                  <c:v>67.187603635943674</c:v>
                </c:pt>
                <c:pt idx="7">
                  <c:v>193.66478198801497</c:v>
                </c:pt>
                <c:pt idx="8">
                  <c:v>215.24076862277241</c:v>
                </c:pt>
                <c:pt idx="9">
                  <c:v>228.30448102890034</c:v>
                </c:pt>
                <c:pt idx="10">
                  <c:v>237.14790678365841</c:v>
                </c:pt>
                <c:pt idx="11">
                  <c:v>254.38459639021119</c:v>
                </c:pt>
                <c:pt idx="12">
                  <c:v>267.68900089888859</c:v>
                </c:pt>
                <c:pt idx="13">
                  <c:v>269.17826829386524</c:v>
                </c:pt>
                <c:pt idx="14">
                  <c:v>268.44891873250469</c:v>
                </c:pt>
                <c:pt idx="15">
                  <c:v>256.21692781470438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Charts!$AJ$15</c:f>
              <c:strCache>
                <c:ptCount val="1"/>
                <c:pt idx="0">
                  <c:v>Scen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4.1975318843034621E-3"/>
                  <c:y val="4.047619123502421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Scenario 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Charts!$AJ$16:$AJ$31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94240"/>
        <c:axId val="151200128"/>
      </c:lineChart>
      <c:catAx>
        <c:axId val="15119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1200128"/>
        <c:crosses val="autoZero"/>
        <c:auto val="1"/>
        <c:lblAlgn val="ctr"/>
        <c:lblOffset val="100"/>
        <c:noMultiLvlLbl val="0"/>
      </c:catAx>
      <c:valAx>
        <c:axId val="151200128"/>
        <c:scaling>
          <c:orientation val="minMax"/>
          <c:max val="3000"/>
          <c:min val="-15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Delta Costs from Base, Low Demand Scenarios (2013 $ M)</a:t>
                </a:r>
              </a:p>
            </c:rich>
          </c:tx>
          <c:layout>
            <c:manualLayout>
              <c:xMode val="edge"/>
              <c:yMode val="edge"/>
              <c:x val="2.1837576999508359E-2"/>
              <c:y val="9.0378554375300985E-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>
            <a:noFill/>
          </a:ln>
        </c:spPr>
        <c:crossAx val="151194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0.12248485727352838"/>
          <c:w val="0.79979012340578493"/>
          <c:h val="0.74088982341851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Charts!$AI$134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strRef>
                  <c:f>Charts!$AJ$137</c:f>
                  <c:strCache>
                    <c:ptCount val="1"/>
                    <c:pt idx="0">
                      <c:v>28%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Charts!$AK$137</c:f>
                  <c:strCache>
                    <c:ptCount val="1"/>
                    <c:pt idx="0">
                      <c:v>28%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Charts!$AL$137</c:f>
                  <c:strCache>
                    <c:ptCount val="1"/>
                    <c:pt idx="0">
                      <c:v>28%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Charts!$AM$137</c:f>
                  <c:strCache>
                    <c:ptCount val="1"/>
                    <c:pt idx="0">
                      <c:v>28%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Charts!$AN$137</c:f>
                  <c:strCache>
                    <c:ptCount val="1"/>
                    <c:pt idx="0">
                      <c:v>23%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Charts!$AO$137</c:f>
                  <c:strCache>
                    <c:ptCount val="1"/>
                    <c:pt idx="0">
                      <c:v>23%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Charts!$AP$137</c:f>
                  <c:strCache>
                    <c:ptCount val="1"/>
                    <c:pt idx="0">
                      <c:v>23%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Charts!$AQ$137</c:f>
                  <c:strCache>
                    <c:ptCount val="1"/>
                    <c:pt idx="0">
                      <c:v>23%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Charts!$AJ$3:$AQ$3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Charts!$AJ$134:$AQ$134</c:f>
              <c:numCache>
                <c:formatCode>#,##0</c:formatCode>
                <c:ptCount val="8"/>
                <c:pt idx="0">
                  <c:v>12.242957452267243</c:v>
                </c:pt>
                <c:pt idx="1">
                  <c:v>12.242957452267243</c:v>
                </c:pt>
                <c:pt idx="2">
                  <c:v>12.242957452267243</c:v>
                </c:pt>
                <c:pt idx="3">
                  <c:v>12.242957452267243</c:v>
                </c:pt>
                <c:pt idx="4">
                  <c:v>11.79773643449116</c:v>
                </c:pt>
                <c:pt idx="5">
                  <c:v>11.79773643449116</c:v>
                </c:pt>
                <c:pt idx="6">
                  <c:v>11.797653704840634</c:v>
                </c:pt>
                <c:pt idx="7">
                  <c:v>11.79773643449116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34432"/>
        <c:axId val="151235968"/>
      </c:barChart>
      <c:lineChart>
        <c:grouping val="standard"/>
        <c:varyColors val="0"/>
        <c:ser>
          <c:idx val="1"/>
          <c:order val="1"/>
          <c:tx>
            <c:strRef>
              <c:f>Charts!$AI$132</c:f>
              <c:strCache>
                <c:ptCount val="1"/>
                <c:pt idx="0">
                  <c:v>2020 GWSA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Charts!$AJ$132:$AQ$132</c:f>
              <c:numCache>
                <c:formatCode>#,##0</c:formatCode>
                <c:ptCount val="8"/>
                <c:pt idx="0">
                  <c:v>9.5800444118697126</c:v>
                </c:pt>
                <c:pt idx="1">
                  <c:v>9.5800444118697126</c:v>
                </c:pt>
                <c:pt idx="2">
                  <c:v>9.5800444118697126</c:v>
                </c:pt>
                <c:pt idx="3">
                  <c:v>9.5800444118697126</c:v>
                </c:pt>
                <c:pt idx="4">
                  <c:v>9.5800444118697126</c:v>
                </c:pt>
                <c:pt idx="5">
                  <c:v>9.5800444118697126</c:v>
                </c:pt>
                <c:pt idx="6">
                  <c:v>9.5800444118697126</c:v>
                </c:pt>
                <c:pt idx="7">
                  <c:v>9.5800444118697126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Charts!$AI$130</c:f>
              <c:strCache>
                <c:ptCount val="1"/>
                <c:pt idx="0">
                  <c:v>2020 BAU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Charts!$AJ$130:$AQ$130</c:f>
              <c:numCache>
                <c:formatCode>#,##0</c:formatCode>
                <c:ptCount val="8"/>
                <c:pt idx="0" formatCode="0">
                  <c:v>12.324742901839176</c:v>
                </c:pt>
                <c:pt idx="1">
                  <c:v>12.324742901839176</c:v>
                </c:pt>
                <c:pt idx="2">
                  <c:v>12.324742901839176</c:v>
                </c:pt>
                <c:pt idx="3">
                  <c:v>12.324742901839176</c:v>
                </c:pt>
                <c:pt idx="4">
                  <c:v>12.324742901839176</c:v>
                </c:pt>
                <c:pt idx="5">
                  <c:v>12.324742901839176</c:v>
                </c:pt>
                <c:pt idx="6">
                  <c:v>12.324742901839176</c:v>
                </c:pt>
                <c:pt idx="7">
                  <c:v>12.324742901839176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34432"/>
        <c:axId val="151235968"/>
      </c:lineChart>
      <c:catAx>
        <c:axId val="15123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51235968"/>
        <c:crosses val="autoZero"/>
        <c:auto val="1"/>
        <c:lblAlgn val="ctr"/>
        <c:lblOffset val="100"/>
        <c:noMultiLvlLbl val="0"/>
      </c:catAx>
      <c:valAx>
        <c:axId val="151235968"/>
        <c:scaling>
          <c:orientation val="minMax"/>
          <c:max val="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CO</a:t>
                </a:r>
                <a:r>
                  <a:rPr lang="en-US" sz="1200" b="0" baseline="-25000"/>
                  <a:t>2</a:t>
                </a:r>
                <a:r>
                  <a:rPr lang="en-US" sz="1200" b="0"/>
                  <a:t> Emissions
(Million Metric Tons)</a:t>
                </a:r>
              </a:p>
            </c:rich>
          </c:tx>
          <c:layout>
            <c:manualLayout>
              <c:xMode val="edge"/>
              <c:yMode val="edge"/>
              <c:x val="3.0232640768115285E-2"/>
              <c:y val="9.613372449719455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5123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0.12248485727352838"/>
          <c:w val="0.79979012340578493"/>
          <c:h val="0.74088982341851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Charts!$AI$135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strRef>
                  <c:f>Charts!$AJ$138</c:f>
                  <c:strCache>
                    <c:ptCount val="1"/>
                    <c:pt idx="0">
                      <c:v>49%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Charts!$AK$138</c:f>
                  <c:strCache>
                    <c:ptCount val="1"/>
                    <c:pt idx="0">
                      <c:v>49%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Charts!$AL$138</c:f>
                  <c:strCache>
                    <c:ptCount val="1"/>
                    <c:pt idx="0">
                      <c:v>49%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Charts!$AM$138</c:f>
                  <c:strCache>
                    <c:ptCount val="1"/>
                    <c:pt idx="0">
                      <c:v>49%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Charts!$AN$138</c:f>
                  <c:strCache>
                    <c:ptCount val="1"/>
                    <c:pt idx="0">
                      <c:v>33%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Charts!$AO$138</c:f>
                  <c:strCache>
                    <c:ptCount val="1"/>
                    <c:pt idx="0">
                      <c:v>33%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Charts!$AP$138</c:f>
                  <c:strCache>
                    <c:ptCount val="1"/>
                    <c:pt idx="0">
                      <c:v>32%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Charts!$AQ$138</c:f>
                  <c:strCache>
                    <c:ptCount val="1"/>
                    <c:pt idx="0">
                      <c:v>33%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Charts!$AJ$3:$AQ$3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Charts!$AJ$135:$AQ$135</c:f>
              <c:numCache>
                <c:formatCode>#,##0</c:formatCode>
                <c:ptCount val="8"/>
                <c:pt idx="0">
                  <c:v>11.972330093678231</c:v>
                </c:pt>
                <c:pt idx="1">
                  <c:v>11.972330093678231</c:v>
                </c:pt>
                <c:pt idx="2">
                  <c:v>11.972330093678231</c:v>
                </c:pt>
                <c:pt idx="3">
                  <c:v>11.972330093678231</c:v>
                </c:pt>
                <c:pt idx="4">
                  <c:v>10.630330621633057</c:v>
                </c:pt>
                <c:pt idx="5">
                  <c:v>10.630330621633057</c:v>
                </c:pt>
                <c:pt idx="6">
                  <c:v>10.555624759765838</c:v>
                </c:pt>
                <c:pt idx="7">
                  <c:v>10.630330621633057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15392"/>
        <c:axId val="152316928"/>
      </c:barChart>
      <c:lineChart>
        <c:grouping val="standard"/>
        <c:varyColors val="0"/>
        <c:ser>
          <c:idx val="1"/>
          <c:order val="1"/>
          <c:tx>
            <c:strRef>
              <c:f>Charts!$AI$133</c:f>
              <c:strCache>
                <c:ptCount val="1"/>
                <c:pt idx="0">
                  <c:v>2030 GWSA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Charts!$AJ$133:$AQ$133</c:f>
              <c:numCache>
                <c:formatCode>#,##0</c:formatCode>
                <c:ptCount val="8"/>
                <c:pt idx="0" formatCode="0">
                  <c:v>8.0173261660936195</c:v>
                </c:pt>
                <c:pt idx="1">
                  <c:v>8.0173261660936195</c:v>
                </c:pt>
                <c:pt idx="2">
                  <c:v>8.0173261660936195</c:v>
                </c:pt>
                <c:pt idx="3">
                  <c:v>8.0173261660936195</c:v>
                </c:pt>
                <c:pt idx="4">
                  <c:v>8.0173261660936195</c:v>
                </c:pt>
                <c:pt idx="5">
                  <c:v>8.0173261660936195</c:v>
                </c:pt>
                <c:pt idx="6">
                  <c:v>8.0173261660936195</c:v>
                </c:pt>
                <c:pt idx="7">
                  <c:v>8.0173261660936195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Charts!$AI$131</c:f>
              <c:strCache>
                <c:ptCount val="1"/>
                <c:pt idx="0">
                  <c:v>2030 BAU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Charts!$AJ$131:$AQ$131</c:f>
              <c:numCache>
                <c:formatCode>#,##0</c:formatCode>
                <c:ptCount val="8"/>
                <c:pt idx="0" formatCode="0">
                  <c:v>12.96003774720403</c:v>
                </c:pt>
                <c:pt idx="1">
                  <c:v>12.96003774720403</c:v>
                </c:pt>
                <c:pt idx="2">
                  <c:v>12.96003774720403</c:v>
                </c:pt>
                <c:pt idx="3">
                  <c:v>12.96003774720403</c:v>
                </c:pt>
                <c:pt idx="4">
                  <c:v>12.96003774720403</c:v>
                </c:pt>
                <c:pt idx="5">
                  <c:v>12.96003774720403</c:v>
                </c:pt>
                <c:pt idx="6">
                  <c:v>12.96003774720403</c:v>
                </c:pt>
                <c:pt idx="7">
                  <c:v>12.96003774720403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5392"/>
        <c:axId val="152316928"/>
      </c:lineChart>
      <c:catAx>
        <c:axId val="15231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52316928"/>
        <c:crosses val="autoZero"/>
        <c:auto val="1"/>
        <c:lblAlgn val="ctr"/>
        <c:lblOffset val="100"/>
        <c:noMultiLvlLbl val="0"/>
      </c:catAx>
      <c:valAx>
        <c:axId val="152316928"/>
        <c:scaling>
          <c:orientation val="minMax"/>
          <c:max val="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CO</a:t>
                </a:r>
                <a:r>
                  <a:rPr lang="en-US" sz="1200" b="0" baseline="-25000"/>
                  <a:t>2</a:t>
                </a:r>
                <a:r>
                  <a:rPr lang="en-US" sz="1200" b="0"/>
                  <a:t> Emissions
(Million Metric Tons)</a:t>
                </a:r>
              </a:p>
            </c:rich>
          </c:tx>
          <c:layout>
            <c:manualLayout>
              <c:xMode val="edge"/>
              <c:yMode val="edge"/>
              <c:x val="3.0232640768115285E-2"/>
              <c:y val="9.613372449719455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5231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0.12248485727352838"/>
          <c:w val="0.79979012340578493"/>
          <c:h val="0.74088982341851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Charts!$AI$146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strRef>
                  <c:f>Charts!$AJ$149</c:f>
                  <c:strCache>
                    <c:ptCount val="1"/>
                    <c:pt idx="0">
                      <c:v>25%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Charts!$AK$149</c:f>
                  <c:strCache>
                    <c:ptCount val="1"/>
                    <c:pt idx="0">
                      <c:v>25%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Charts!$AL$149</c:f>
                  <c:strCache>
                    <c:ptCount val="1"/>
                    <c:pt idx="0">
                      <c:v>25%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Charts!$AM$149</c:f>
                  <c:strCache>
                    <c:ptCount val="1"/>
                    <c:pt idx="0">
                      <c:v>8%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Charts!$AN$149</c:f>
                  <c:strCache>
                    <c:ptCount val="1"/>
                    <c:pt idx="0">
                      <c:v>13%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Charts!$AO$149</c:f>
                  <c:strCache>
                    <c:ptCount val="1"/>
                    <c:pt idx="0">
                      <c:v>14%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Charts!$AP$149</c:f>
                  <c:strCache>
                    <c:ptCount val="1"/>
                    <c:pt idx="0">
                      <c:v>8%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Charts!$AQ$149</c:f>
                  <c:strCache>
                    <c:ptCount val="1"/>
                    <c:pt idx="0">
                      <c:v>-4%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Charts!$AJ$3:$AQ$3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Charts!$AJ$146:$AQ$146</c:f>
              <c:numCache>
                <c:formatCode>#,##0</c:formatCode>
                <c:ptCount val="8"/>
                <c:pt idx="0">
                  <c:v>17.236344445390461</c:v>
                </c:pt>
                <c:pt idx="1">
                  <c:v>17.222135075094062</c:v>
                </c:pt>
                <c:pt idx="2">
                  <c:v>17.175214612417729</c:v>
                </c:pt>
                <c:pt idx="3">
                  <c:v>14.825847103369014</c:v>
                </c:pt>
                <c:pt idx="4">
                  <c:v>15.533092397521321</c:v>
                </c:pt>
                <c:pt idx="5">
                  <c:v>15.615131260147294</c:v>
                </c:pt>
                <c:pt idx="6">
                  <c:v>14.870833992247739</c:v>
                </c:pt>
                <c:pt idx="7">
                  <c:v>13.163780208018178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47776"/>
        <c:axId val="152349312"/>
      </c:barChart>
      <c:lineChart>
        <c:grouping val="standard"/>
        <c:varyColors val="0"/>
        <c:ser>
          <c:idx val="1"/>
          <c:order val="1"/>
          <c:tx>
            <c:strRef>
              <c:f>Charts!$AI$144</c:f>
              <c:strCache>
                <c:ptCount val="1"/>
                <c:pt idx="0">
                  <c:v>2020 GWSA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Charts!$AJ$144:$AQ$144</c:f>
              <c:numCache>
                <c:formatCode>#,##0</c:formatCode>
                <c:ptCount val="8"/>
                <c:pt idx="0">
                  <c:v>13.746451848924854</c:v>
                </c:pt>
                <c:pt idx="1">
                  <c:v>13.746451848924854</c:v>
                </c:pt>
                <c:pt idx="2">
                  <c:v>13.746451848924854</c:v>
                </c:pt>
                <c:pt idx="3">
                  <c:v>13.746451848924854</c:v>
                </c:pt>
                <c:pt idx="4">
                  <c:v>13.746451848924854</c:v>
                </c:pt>
                <c:pt idx="5">
                  <c:v>13.746451848924854</c:v>
                </c:pt>
                <c:pt idx="6">
                  <c:v>13.746451848924854</c:v>
                </c:pt>
                <c:pt idx="7">
                  <c:v>13.746451848924854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Charts!$AI$142</c:f>
              <c:strCache>
                <c:ptCount val="1"/>
                <c:pt idx="0">
                  <c:v>2020 BAU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Charts!$AJ$142:$AQ$142</c:f>
              <c:numCache>
                <c:formatCode>#,##0</c:formatCode>
                <c:ptCount val="8"/>
                <c:pt idx="0" formatCode="0">
                  <c:v>23.612174754891029</c:v>
                </c:pt>
                <c:pt idx="1">
                  <c:v>23.612174754891029</c:v>
                </c:pt>
                <c:pt idx="2">
                  <c:v>23.612174754891029</c:v>
                </c:pt>
                <c:pt idx="3">
                  <c:v>23.612174754891029</c:v>
                </c:pt>
                <c:pt idx="4">
                  <c:v>23.612174754891029</c:v>
                </c:pt>
                <c:pt idx="5">
                  <c:v>23.612174754891029</c:v>
                </c:pt>
                <c:pt idx="6">
                  <c:v>23.612174754891029</c:v>
                </c:pt>
                <c:pt idx="7">
                  <c:v>23.612174754891029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47776"/>
        <c:axId val="152349312"/>
      </c:lineChart>
      <c:catAx>
        <c:axId val="15234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52349312"/>
        <c:crosses val="autoZero"/>
        <c:auto val="1"/>
        <c:lblAlgn val="ctr"/>
        <c:lblOffset val="100"/>
        <c:noMultiLvlLbl val="0"/>
      </c:catAx>
      <c:valAx>
        <c:axId val="152349312"/>
        <c:scaling>
          <c:orientation val="minMax"/>
          <c:max val="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CO</a:t>
                </a:r>
                <a:r>
                  <a:rPr lang="en-US" sz="1200" b="0" baseline="-25000"/>
                  <a:t>2</a:t>
                </a:r>
                <a:r>
                  <a:rPr lang="en-US" sz="1200" b="0"/>
                  <a:t> Emissions
(Million Metric Tons)</a:t>
                </a:r>
              </a:p>
            </c:rich>
          </c:tx>
          <c:layout>
            <c:manualLayout>
              <c:xMode val="edge"/>
              <c:yMode val="edge"/>
              <c:x val="3.0232640768115285E-2"/>
              <c:y val="9.613372449719455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5234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0.12248485727352838"/>
          <c:w val="0.79979012340578493"/>
          <c:h val="0.74088982341851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Charts!$AI$147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strRef>
                  <c:f>Charts!$AJ$150</c:f>
                  <c:strCache>
                    <c:ptCount val="1"/>
                    <c:pt idx="0">
                      <c:v>59%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Charts!$AK$150</c:f>
                  <c:strCache>
                    <c:ptCount val="1"/>
                    <c:pt idx="0">
                      <c:v>58%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Charts!$AL$150</c:f>
                  <c:strCache>
                    <c:ptCount val="1"/>
                    <c:pt idx="0">
                      <c:v>58%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Charts!$AM$150</c:f>
                  <c:strCache>
                    <c:ptCount val="1"/>
                    <c:pt idx="0">
                      <c:v>22%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6953862234646869E-17"/>
                  <c:y val="-4.2727039262896893E-2"/>
                </c:manualLayout>
              </c:layout>
              <c:tx>
                <c:strRef>
                  <c:f>Charts!$AN$150</c:f>
                  <c:strCache>
                    <c:ptCount val="1"/>
                    <c:pt idx="0">
                      <c:v>-21%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Charts!$AO$150</c:f>
                  <c:strCache>
                    <c:ptCount val="1"/>
                    <c:pt idx="0">
                      <c:v>-20%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Charts!$AP$150</c:f>
                  <c:strCache>
                    <c:ptCount val="1"/>
                    <c:pt idx="0">
                      <c:v>-99%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2.8484676869937733E-2"/>
                </c:manualLayout>
              </c:layout>
              <c:tx>
                <c:strRef>
                  <c:f>Charts!$AQ$150</c:f>
                  <c:strCache>
                    <c:ptCount val="1"/>
                    <c:pt idx="0">
                      <c:v>-53%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Charts!$AJ$3:$AQ$3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Charts!$AJ$147:$AQ$147</c:f>
              <c:numCache>
                <c:formatCode>#,##0</c:formatCode>
                <c:ptCount val="8"/>
                <c:pt idx="0">
                  <c:v>16.974073056755458</c:v>
                </c:pt>
                <c:pt idx="1">
                  <c:v>16.848896444437607</c:v>
                </c:pt>
                <c:pt idx="2">
                  <c:v>16.843398512807443</c:v>
                </c:pt>
                <c:pt idx="3">
                  <c:v>13.001971554815331</c:v>
                </c:pt>
                <c:pt idx="4">
                  <c:v>8.402820191540318</c:v>
                </c:pt>
                <c:pt idx="5">
                  <c:v>8.5330868456383513</c:v>
                </c:pt>
                <c:pt idx="6">
                  <c:v>9.9424030206016312E-2</c:v>
                </c:pt>
                <c:pt idx="7">
                  <c:v>4.9929258099457128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67872"/>
        <c:axId val="152369408"/>
      </c:barChart>
      <c:lineChart>
        <c:grouping val="standard"/>
        <c:varyColors val="0"/>
        <c:ser>
          <c:idx val="1"/>
          <c:order val="1"/>
          <c:tx>
            <c:strRef>
              <c:f>Charts!$AI$145</c:f>
              <c:strCache>
                <c:ptCount val="1"/>
                <c:pt idx="0">
                  <c:v>2030 GWSA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Charts!$AJ$145:$AQ$145</c:f>
              <c:numCache>
                <c:formatCode>#,##0</c:formatCode>
                <c:ptCount val="8"/>
                <c:pt idx="0" formatCode="0">
                  <c:v>10.659394996072512</c:v>
                </c:pt>
                <c:pt idx="1">
                  <c:v>10.659394996072512</c:v>
                </c:pt>
                <c:pt idx="2">
                  <c:v>10.659394996072512</c:v>
                </c:pt>
                <c:pt idx="3">
                  <c:v>10.659394996072512</c:v>
                </c:pt>
                <c:pt idx="4">
                  <c:v>10.659394996072512</c:v>
                </c:pt>
                <c:pt idx="5">
                  <c:v>10.659394996072512</c:v>
                </c:pt>
                <c:pt idx="6">
                  <c:v>10.659394996072512</c:v>
                </c:pt>
                <c:pt idx="7">
                  <c:v>10.659394996072512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Charts!$AI$143</c:f>
              <c:strCache>
                <c:ptCount val="1"/>
                <c:pt idx="0">
                  <c:v>2030 BAU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Charts!$AJ$143:$AQ$143</c:f>
              <c:numCache>
                <c:formatCode>#,##0</c:formatCode>
                <c:ptCount val="8"/>
                <c:pt idx="0" formatCode="0">
                  <c:v>25.287658709565576</c:v>
                </c:pt>
                <c:pt idx="1">
                  <c:v>25.287658709565576</c:v>
                </c:pt>
                <c:pt idx="2">
                  <c:v>25.287658709565576</c:v>
                </c:pt>
                <c:pt idx="3">
                  <c:v>25.287658709565576</c:v>
                </c:pt>
                <c:pt idx="4">
                  <c:v>25.287658709565576</c:v>
                </c:pt>
                <c:pt idx="5">
                  <c:v>25.287658709565576</c:v>
                </c:pt>
                <c:pt idx="6">
                  <c:v>25.287658709565576</c:v>
                </c:pt>
                <c:pt idx="7">
                  <c:v>25.287658709565576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67872"/>
        <c:axId val="152369408"/>
      </c:lineChart>
      <c:catAx>
        <c:axId val="152367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52369408"/>
        <c:crosses val="autoZero"/>
        <c:auto val="1"/>
        <c:lblAlgn val="ctr"/>
        <c:lblOffset val="100"/>
        <c:noMultiLvlLbl val="0"/>
      </c:catAx>
      <c:valAx>
        <c:axId val="152369408"/>
        <c:scaling>
          <c:orientation val="minMax"/>
          <c:max val="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CO</a:t>
                </a:r>
                <a:r>
                  <a:rPr lang="en-US" sz="1200" b="0" baseline="-25000"/>
                  <a:t>2</a:t>
                </a:r>
                <a:r>
                  <a:rPr lang="en-US" sz="1200" b="0"/>
                  <a:t> Emissions
(Million Metric Tons)</a:t>
                </a:r>
              </a:p>
            </c:rich>
          </c:tx>
          <c:layout>
            <c:manualLayout>
              <c:xMode val="edge"/>
              <c:yMode val="edge"/>
              <c:x val="3.0232640768115285E-2"/>
              <c:y val="9.613372449719455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5236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2959398305388"/>
          <c:y val="7.2636617052828048E-2"/>
          <c:w val="0.70023413630672782"/>
          <c:h val="0.78496225024807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Charts!$AI$329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Charts!$AJ$328:$AQ$328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Charts!$AJ$329:$AQ$329</c:f>
              <c:numCache>
                <c:formatCode>#,##0</c:formatCode>
                <c:ptCount val="8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29.166666666666664</c:v>
                </c:pt>
                <c:pt idx="5">
                  <c:v>29.166666666666664</c:v>
                </c:pt>
                <c:pt idx="6">
                  <c:v>24.999999999999996</c:v>
                </c:pt>
                <c:pt idx="7">
                  <c:v>24.999999999999996</c:v>
                </c:pt>
              </c:numCache>
            </c:numRef>
          </c:val>
        </c:ser>
        <c:ser>
          <c:idx val="1"/>
          <c:order val="1"/>
          <c:tx>
            <c:strRef>
              <c:f>Charts!$AI$330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Charts!$AJ$328:$AQ$328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Charts!$AJ$330:$AQ$330</c:f>
              <c:numCache>
                <c:formatCode>#,##0</c:formatCode>
                <c:ptCount val="8"/>
                <c:pt idx="0">
                  <c:v>37.499999999999993</c:v>
                </c:pt>
                <c:pt idx="1">
                  <c:v>37.499999999999993</c:v>
                </c:pt>
                <c:pt idx="2">
                  <c:v>37.499999999999993</c:v>
                </c:pt>
                <c:pt idx="3">
                  <c:v>33.333333333333329</c:v>
                </c:pt>
                <c:pt idx="4">
                  <c:v>29.166666666666664</c:v>
                </c:pt>
                <c:pt idx="5">
                  <c:v>29.166666666666664</c:v>
                </c:pt>
                <c:pt idx="6">
                  <c:v>24.999999999999996</c:v>
                </c:pt>
                <c:pt idx="7">
                  <c:v>24.999999999999996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35520"/>
        <c:axId val="153441408"/>
      </c:barChart>
      <c:catAx>
        <c:axId val="15343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53441408"/>
        <c:crosses val="autoZero"/>
        <c:auto val="1"/>
        <c:lblAlgn val="ctr"/>
        <c:lblOffset val="100"/>
        <c:noMultiLvlLbl val="0"/>
      </c:catAx>
      <c:valAx>
        <c:axId val="15344140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Incremental Pipeline Required
(Billion Btu</a:t>
                </a:r>
                <a:r>
                  <a:rPr lang="en-US" sz="1200" b="0" baseline="0"/>
                  <a:t> / Peak Hour)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4.1576546443203764E-2"/>
              <c:y val="0.1511661418040889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343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044397981483271"/>
          <c:y val="0.42946542817951222"/>
          <c:w val="8.6963426613273193E-2"/>
          <c:h val="0.141068825895494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59398305388"/>
          <c:y val="6.904303167423681E-2"/>
          <c:w val="0.76739463535682984"/>
          <c:h val="0.78093913323352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Charts!$AI$345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Charts!$AJ$328:$AQ$328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Charts!$AJ$345:$AQ$345</c:f>
              <c:numCache>
                <c:formatCode>#,##0</c:formatCode>
                <c:ptCount val="8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29.166666666666664</c:v>
                </c:pt>
                <c:pt idx="5">
                  <c:v>29.166666666666664</c:v>
                </c:pt>
                <c:pt idx="6">
                  <c:v>24.999999999999996</c:v>
                </c:pt>
                <c:pt idx="7">
                  <c:v>24.999999999999996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49600"/>
        <c:axId val="153451136"/>
      </c:barChart>
      <c:catAx>
        <c:axId val="153449600"/>
        <c:scaling>
          <c:orientation val="minMax"/>
        </c:scaling>
        <c:delete val="0"/>
        <c:axPos val="b"/>
        <c:majorTickMark val="out"/>
        <c:minorTickMark val="none"/>
        <c:tickLblPos val="low"/>
        <c:crossAx val="153451136"/>
        <c:crosses val="autoZero"/>
        <c:auto val="1"/>
        <c:lblAlgn val="ctr"/>
        <c:lblOffset val="100"/>
        <c:noMultiLvlLbl val="0"/>
      </c:catAx>
      <c:valAx>
        <c:axId val="153451136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Incremental Pipeline Required
(Billion Btu</a:t>
                </a:r>
                <a:r>
                  <a:rPr lang="en-US" sz="1200" b="0" baseline="0"/>
                  <a:t> / Peak Hour)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3.3181484061941019E-2"/>
              <c:y val="0.151166186945979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344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6990493581825018"/>
          <c:h val="0.85712223204203664"/>
        </c:manualLayout>
      </c:layout>
      <c:lineChart>
        <c:grouping val="standard"/>
        <c:varyColors val="0"/>
        <c:ser>
          <c:idx val="4"/>
          <c:order val="1"/>
          <c:tx>
            <c:strRef>
              <c:f>Charts!$AN$15</c:f>
              <c:strCache>
                <c:ptCount val="1"/>
                <c:pt idx="0">
                  <c:v>Scen 5</c:v>
                </c:pt>
              </c:strCache>
            </c:strRef>
          </c:tx>
          <c:spPr>
            <a:ln>
              <a:solidFill>
                <a:schemeClr val="accent4"/>
              </a:solidFill>
              <a:prstDash val="sysDash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0.43864208190971177"/>
                  <c:y val="-0.33190476812719849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Low Demand</a:t>
                    </a:r>
                    <a:endParaRPr lang="en-US" b="1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Charts!$AN$16:$AN$31</c:f>
              <c:numCache>
                <c:formatCode>"$"#,##0</c:formatCode>
                <c:ptCount val="16"/>
                <c:pt idx="0">
                  <c:v>11.287427640083779</c:v>
                </c:pt>
                <c:pt idx="1">
                  <c:v>13.999323889352766</c:v>
                </c:pt>
                <c:pt idx="2">
                  <c:v>63.819087618632537</c:v>
                </c:pt>
                <c:pt idx="3">
                  <c:v>84.70016867664819</c:v>
                </c:pt>
                <c:pt idx="4">
                  <c:v>80.184125733472143</c:v>
                </c:pt>
                <c:pt idx="5">
                  <c:v>24.282940431652023</c:v>
                </c:pt>
                <c:pt idx="6">
                  <c:v>52.316333861813121</c:v>
                </c:pt>
                <c:pt idx="7">
                  <c:v>76.250298234775357</c:v>
                </c:pt>
                <c:pt idx="8">
                  <c:v>99.635934634507748</c:v>
                </c:pt>
                <c:pt idx="9">
                  <c:v>120.3620544481771</c:v>
                </c:pt>
                <c:pt idx="10">
                  <c:v>136.3678141471969</c:v>
                </c:pt>
                <c:pt idx="11">
                  <c:v>156.10875766015806</c:v>
                </c:pt>
                <c:pt idx="12">
                  <c:v>173.19121149115472</c:v>
                </c:pt>
                <c:pt idx="13">
                  <c:v>178.33279232156815</c:v>
                </c:pt>
                <c:pt idx="14">
                  <c:v>184.51009650876381</c:v>
                </c:pt>
                <c:pt idx="15">
                  <c:v>181.98295562400506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Charts!$AJ$15</c:f>
              <c:strCache>
                <c:ptCount val="1"/>
                <c:pt idx="0">
                  <c:v>Scen 1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0"/>
                  <c:y val="4.0476191235024207E-3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1"/>
                        </a:solidFill>
                      </a:defRPr>
                    </a:pPr>
                    <a:r>
                      <a:rPr lang="en-US">
                        <a:solidFill>
                          <a:schemeClr val="accent1"/>
                        </a:solidFill>
                      </a:rPr>
                      <a:t>Base Case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Charts!$AJ$16:$AJ$31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65984"/>
        <c:axId val="153467520"/>
      </c:lineChart>
      <c:catAx>
        <c:axId val="15346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3467520"/>
        <c:crosses val="autoZero"/>
        <c:auto val="1"/>
        <c:lblAlgn val="ctr"/>
        <c:lblOffset val="100"/>
        <c:noMultiLvlLbl val="0"/>
      </c:catAx>
      <c:valAx>
        <c:axId val="153467520"/>
        <c:scaling>
          <c:orientation val="minMax"/>
          <c:max val="100"/>
          <c:min val="-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Delta Costs from</a:t>
                </a:r>
                <a:r>
                  <a:rPr lang="en-US" sz="1200" b="0" baseline="0"/>
                  <a:t> </a:t>
                </a:r>
                <a:r>
                  <a:rPr lang="en-US" sz="1200" b="0"/>
                  <a:t>Base,</a:t>
                </a:r>
                <a:r>
                  <a:rPr lang="en-US" sz="1200" b="0" baseline="0"/>
                  <a:t> Base Case Scenarios </a:t>
                </a:r>
                <a:r>
                  <a:rPr lang="en-US" sz="1200" b="0"/>
                  <a:t>(2013 $ M)</a:t>
                </a:r>
              </a:p>
            </c:rich>
          </c:tx>
          <c:layout>
            <c:manualLayout>
              <c:xMode val="edge"/>
              <c:yMode val="edge"/>
              <c:x val="2.1837576999508362E-2"/>
              <c:y val="0.11871188823981793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>
            <a:noFill/>
          </a:ln>
        </c:spPr>
        <c:crossAx val="153465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2959398305388"/>
          <c:y val="7.2636617052828048E-2"/>
          <c:w val="0.79979015649189511"/>
          <c:h val="0.78496225024807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Charts!$AO$283</c:f>
              <c:strCache>
                <c:ptCount val="1"/>
                <c:pt idx="0">
                  <c:v>Heating System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Charts!$AO$284:$AO$299</c:f>
              <c:numCache>
                <c:formatCode>#,##0</c:formatCode>
                <c:ptCount val="16"/>
                <c:pt idx="0">
                  <c:v>141.94137254070085</c:v>
                </c:pt>
                <c:pt idx="1">
                  <c:v>142.36789135466694</c:v>
                </c:pt>
                <c:pt idx="2">
                  <c:v>142.5731474960993</c:v>
                </c:pt>
                <c:pt idx="3">
                  <c:v>143.19082471359721</c:v>
                </c:pt>
                <c:pt idx="4">
                  <c:v>143.638908297412</c:v>
                </c:pt>
                <c:pt idx="5">
                  <c:v>142.33927446820192</c:v>
                </c:pt>
                <c:pt idx="6">
                  <c:v>141.55636340871075</c:v>
                </c:pt>
                <c:pt idx="7">
                  <c:v>140.77833147695</c:v>
                </c:pt>
                <c:pt idx="8">
                  <c:v>140.4171614211802</c:v>
                </c:pt>
                <c:pt idx="9">
                  <c:v>139.95100685192952</c:v>
                </c:pt>
                <c:pt idx="10">
                  <c:v>139.55015451632687</c:v>
                </c:pt>
                <c:pt idx="11">
                  <c:v>139.17914038499944</c:v>
                </c:pt>
                <c:pt idx="12">
                  <c:v>138.98675505303009</c:v>
                </c:pt>
                <c:pt idx="13">
                  <c:v>138.77586013704433</c:v>
                </c:pt>
                <c:pt idx="14">
                  <c:v>138.70869191350175</c:v>
                </c:pt>
                <c:pt idx="15">
                  <c:v>138.68456008281441</c:v>
                </c:pt>
              </c:numCache>
            </c:numRef>
          </c:val>
        </c:ser>
        <c:ser>
          <c:idx val="2"/>
          <c:order val="1"/>
          <c:tx>
            <c:strRef>
              <c:f>Charts!$AP$283</c:f>
              <c:strCache>
                <c:ptCount val="1"/>
                <c:pt idx="0">
                  <c:v>Electric System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Charts!$AP$284:$AP$299</c:f>
              <c:numCache>
                <c:formatCode>#,##0</c:formatCode>
                <c:ptCount val="16"/>
                <c:pt idx="0">
                  <c:v>9.9414400000000001</c:v>
                </c:pt>
                <c:pt idx="1">
                  <c:v>14.10284</c:v>
                </c:pt>
                <c:pt idx="2">
                  <c:v>12.459070000000001</c:v>
                </c:pt>
                <c:pt idx="3">
                  <c:v>20.780260000000002</c:v>
                </c:pt>
                <c:pt idx="4">
                  <c:v>16.20204</c:v>
                </c:pt>
                <c:pt idx="5">
                  <c:v>53.381320000000002</c:v>
                </c:pt>
                <c:pt idx="6">
                  <c:v>51.71199</c:v>
                </c:pt>
                <c:pt idx="7">
                  <c:v>50.569799999999987</c:v>
                </c:pt>
                <c:pt idx="8">
                  <c:v>45.659699999999994</c:v>
                </c:pt>
                <c:pt idx="9">
                  <c:v>51.418159999999993</c:v>
                </c:pt>
                <c:pt idx="10">
                  <c:v>50.925229999999999</c:v>
                </c:pt>
                <c:pt idx="11">
                  <c:v>52.815229999999993</c:v>
                </c:pt>
                <c:pt idx="12">
                  <c:v>47.825549999999993</c:v>
                </c:pt>
                <c:pt idx="13">
                  <c:v>52.017229999999998</c:v>
                </c:pt>
                <c:pt idx="14">
                  <c:v>53.907229999999998</c:v>
                </c:pt>
                <c:pt idx="15">
                  <c:v>52.017229999999998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519232"/>
        <c:axId val="153520768"/>
      </c:barChart>
      <c:lineChart>
        <c:grouping val="standard"/>
        <c:varyColors val="0"/>
        <c:ser>
          <c:idx val="3"/>
          <c:order val="2"/>
          <c:tx>
            <c:strRef>
              <c:f>Charts!$AQ$283</c:f>
              <c:strCache>
                <c:ptCount val="1"/>
                <c:pt idx="0">
                  <c:v>Existing Pipeline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Charts!$AQ$284:$AQ$299</c:f>
              <c:numCache>
                <c:formatCode>#,##0</c:formatCode>
                <c:ptCount val="16"/>
                <c:pt idx="0">
                  <c:v>85.720249999999993</c:v>
                </c:pt>
                <c:pt idx="1">
                  <c:v>99.970249999999993</c:v>
                </c:pt>
                <c:pt idx="2">
                  <c:v>99.970249999999993</c:v>
                </c:pt>
                <c:pt idx="3">
                  <c:v>99.970249999999993</c:v>
                </c:pt>
                <c:pt idx="4">
                  <c:v>99.970249999999993</c:v>
                </c:pt>
                <c:pt idx="5">
                  <c:v>99.970249999999993</c:v>
                </c:pt>
                <c:pt idx="6">
                  <c:v>99.970249999999993</c:v>
                </c:pt>
                <c:pt idx="7">
                  <c:v>99.970249999999993</c:v>
                </c:pt>
                <c:pt idx="8">
                  <c:v>99.970249999999993</c:v>
                </c:pt>
                <c:pt idx="9">
                  <c:v>99.970249999999993</c:v>
                </c:pt>
                <c:pt idx="10">
                  <c:v>99.970249999999993</c:v>
                </c:pt>
                <c:pt idx="11">
                  <c:v>99.970249999999993</c:v>
                </c:pt>
                <c:pt idx="12">
                  <c:v>99.970249999999993</c:v>
                </c:pt>
                <c:pt idx="13">
                  <c:v>99.970249999999993</c:v>
                </c:pt>
                <c:pt idx="14">
                  <c:v>99.970249999999993</c:v>
                </c:pt>
                <c:pt idx="15">
                  <c:v>99.970249999999993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Charts!$AR$283</c:f>
              <c:strCache>
                <c:ptCount val="1"/>
                <c:pt idx="0">
                  <c:v>Existing Pipeline plus Vaporization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Charts!$AR$284:$AR$299</c:f>
              <c:numCache>
                <c:formatCode>#,##0</c:formatCode>
                <c:ptCount val="16"/>
                <c:pt idx="0">
                  <c:v>153.64758333333333</c:v>
                </c:pt>
                <c:pt idx="1">
                  <c:v>167.89758333333333</c:v>
                </c:pt>
                <c:pt idx="2">
                  <c:v>167.89758333333333</c:v>
                </c:pt>
                <c:pt idx="3">
                  <c:v>167.89758333333333</c:v>
                </c:pt>
                <c:pt idx="4">
                  <c:v>167.89758333333333</c:v>
                </c:pt>
                <c:pt idx="5">
                  <c:v>167.89758333333333</c:v>
                </c:pt>
                <c:pt idx="6">
                  <c:v>167.89758333333333</c:v>
                </c:pt>
                <c:pt idx="7">
                  <c:v>167.89758333333333</c:v>
                </c:pt>
                <c:pt idx="8">
                  <c:v>167.89758333333333</c:v>
                </c:pt>
                <c:pt idx="9">
                  <c:v>167.89758333333333</c:v>
                </c:pt>
                <c:pt idx="10">
                  <c:v>167.89758333333333</c:v>
                </c:pt>
                <c:pt idx="11">
                  <c:v>167.89758333333333</c:v>
                </c:pt>
                <c:pt idx="12">
                  <c:v>167.89758333333333</c:v>
                </c:pt>
                <c:pt idx="13">
                  <c:v>167.89758333333333</c:v>
                </c:pt>
                <c:pt idx="14">
                  <c:v>167.89758333333333</c:v>
                </c:pt>
                <c:pt idx="15">
                  <c:v>167.89758333333333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19232"/>
        <c:axId val="153520768"/>
      </c:lineChart>
      <c:catAx>
        <c:axId val="1535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3520768"/>
        <c:crosses val="autoZero"/>
        <c:auto val="1"/>
        <c:lblAlgn val="ctr"/>
        <c:lblOffset val="100"/>
        <c:noMultiLvlLbl val="0"/>
      </c:catAx>
      <c:valAx>
        <c:axId val="153520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Billion Btu / Peak Hour</a:t>
                </a:r>
              </a:p>
            </c:rich>
          </c:tx>
          <c:layout>
            <c:manualLayout>
              <c:xMode val="edge"/>
              <c:yMode val="edge"/>
              <c:x val="3.8627698153218482E-2"/>
              <c:y val="0.2284837852892103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351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79979012340578493"/>
          <c:h val="0.7842650878189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Charts!$AI$122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strRef>
                  <c:f>Charts!$AJ$125</c:f>
                  <c:strCache>
                    <c:ptCount val="1"/>
                    <c:pt idx="0">
                      <c:v>26%</c:v>
                    </c:pt>
                  </c:strCache>
                </c:strRef>
              </c:tx>
              <c:numFmt formatCode="0.0%" sourceLinked="0"/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Charts!$AK$125</c:f>
                  <c:strCache>
                    <c:ptCount val="1"/>
                    <c:pt idx="0">
                      <c:v>26%</c:v>
                    </c:pt>
                  </c:strCache>
                </c:strRef>
              </c:tx>
              <c:numFmt formatCode="0.0%" sourceLinked="0"/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Charts!$AL$125</c:f>
                  <c:strCache>
                    <c:ptCount val="1"/>
                    <c:pt idx="0">
                      <c:v>26%</c:v>
                    </c:pt>
                  </c:strCache>
                </c:strRef>
              </c:tx>
              <c:numFmt formatCode="0.0%" sourceLinked="0"/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Charts!$AM$125</c:f>
                  <c:strCache>
                    <c:ptCount val="1"/>
                    <c:pt idx="0">
                      <c:v>16%</c:v>
                    </c:pt>
                  </c:strCache>
                </c:strRef>
              </c:tx>
              <c:numFmt formatCode="0.0%" sourceLinked="0"/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Charts!$AN$125</c:f>
                  <c:strCache>
                    <c:ptCount val="1"/>
                    <c:pt idx="0">
                      <c:v>17%</c:v>
                    </c:pt>
                  </c:strCache>
                </c:strRef>
              </c:tx>
              <c:numFmt formatCode="0.0%" sourceLinked="0"/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Charts!$AO$125</c:f>
                  <c:strCache>
                    <c:ptCount val="1"/>
                    <c:pt idx="0">
                      <c:v>18%</c:v>
                    </c:pt>
                  </c:strCache>
                </c:strRef>
              </c:tx>
              <c:numFmt formatCode="0.0%" sourceLinked="0"/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Charts!$AP$125</c:f>
                  <c:strCache>
                    <c:ptCount val="1"/>
                    <c:pt idx="0">
                      <c:v>14%</c:v>
                    </c:pt>
                  </c:strCache>
                </c:strRef>
              </c:tx>
              <c:numFmt formatCode="0.0%" sourceLinked="0"/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Charts!$AQ$125</c:f>
                  <c:strCache>
                    <c:ptCount val="1"/>
                    <c:pt idx="0">
                      <c:v>7%</c:v>
                    </c:pt>
                  </c:strCache>
                </c:strRef>
              </c:tx>
              <c:numFmt formatCode="0.0%" sourceLinked="0"/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Charts!$AJ$3:$AQ$3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Charts!$AJ$122:$AQ$122</c:f>
              <c:numCache>
                <c:formatCode>#,##0</c:formatCode>
                <c:ptCount val="8"/>
                <c:pt idx="0">
                  <c:v>29.479301897657706</c:v>
                </c:pt>
                <c:pt idx="1">
                  <c:v>29.465092527361307</c:v>
                </c:pt>
                <c:pt idx="2">
                  <c:v>29.418172064684974</c:v>
                </c:pt>
                <c:pt idx="3">
                  <c:v>27.068804555636255</c:v>
                </c:pt>
                <c:pt idx="4">
                  <c:v>27.330828832012479</c:v>
                </c:pt>
                <c:pt idx="5">
                  <c:v>27.412867694638454</c:v>
                </c:pt>
                <c:pt idx="6">
                  <c:v>26.668487697088374</c:v>
                </c:pt>
                <c:pt idx="7">
                  <c:v>24.961516642509338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73312"/>
        <c:axId val="186380672"/>
      </c:barChart>
      <c:lineChart>
        <c:grouping val="standard"/>
        <c:varyColors val="0"/>
        <c:ser>
          <c:idx val="1"/>
          <c:order val="1"/>
          <c:tx>
            <c:strRef>
              <c:f>Charts!$AI$120</c:f>
              <c:strCache>
                <c:ptCount val="1"/>
                <c:pt idx="0">
                  <c:v>2020 GWSA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Charts!$AJ$120:$AQ$120</c:f>
              <c:numCache>
                <c:formatCode>#,##0</c:formatCode>
                <c:ptCount val="8"/>
                <c:pt idx="0">
                  <c:v>23.326496260794567</c:v>
                </c:pt>
                <c:pt idx="1">
                  <c:v>23.326496260794567</c:v>
                </c:pt>
                <c:pt idx="2">
                  <c:v>23.326496260794567</c:v>
                </c:pt>
                <c:pt idx="3">
                  <c:v>23.326496260794567</c:v>
                </c:pt>
                <c:pt idx="4">
                  <c:v>23.326496260794567</c:v>
                </c:pt>
                <c:pt idx="5">
                  <c:v>23.326496260794567</c:v>
                </c:pt>
                <c:pt idx="6">
                  <c:v>23.326496260794567</c:v>
                </c:pt>
                <c:pt idx="7">
                  <c:v>23.326496260794567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Charts!$AI$118</c:f>
              <c:strCache>
                <c:ptCount val="1"/>
                <c:pt idx="0">
                  <c:v>2020 BAU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Charts!$AJ$118:$AQ$118</c:f>
              <c:numCache>
                <c:formatCode>#,##0</c:formatCode>
                <c:ptCount val="8"/>
                <c:pt idx="0" formatCode="0">
                  <c:v>35.936917656730202</c:v>
                </c:pt>
                <c:pt idx="1">
                  <c:v>35.936917656730202</c:v>
                </c:pt>
                <c:pt idx="2">
                  <c:v>35.936917656730202</c:v>
                </c:pt>
                <c:pt idx="3">
                  <c:v>35.936917656730202</c:v>
                </c:pt>
                <c:pt idx="4">
                  <c:v>35.936917656730202</c:v>
                </c:pt>
                <c:pt idx="5">
                  <c:v>35.936917656730202</c:v>
                </c:pt>
                <c:pt idx="6">
                  <c:v>35.936917656730202</c:v>
                </c:pt>
                <c:pt idx="7">
                  <c:v>35.936917656730202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73312"/>
        <c:axId val="186380672"/>
      </c:lineChart>
      <c:catAx>
        <c:axId val="18257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86380672"/>
        <c:crosses val="autoZero"/>
        <c:auto val="1"/>
        <c:lblAlgn val="ctr"/>
        <c:lblOffset val="100"/>
        <c:noMultiLvlLbl val="0"/>
      </c:catAx>
      <c:valAx>
        <c:axId val="186380672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Annual CO</a:t>
                </a:r>
                <a:r>
                  <a:rPr lang="en-US" sz="1200" b="0" baseline="-25000"/>
                  <a:t>2</a:t>
                </a:r>
                <a:r>
                  <a:rPr lang="en-US" sz="1200" b="0"/>
                  <a:t> Emissions
(Million Metric Tons)</a:t>
                </a:r>
              </a:p>
            </c:rich>
          </c:tx>
          <c:layout>
            <c:manualLayout>
              <c:xMode val="edge"/>
              <c:yMode val="edge"/>
              <c:x val="3.0232640768115292E-2"/>
              <c:y val="0.223633824965013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82573312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2959398305388"/>
          <c:y val="7.2636617052828048E-2"/>
          <c:w val="0.79979015649189511"/>
          <c:h val="0.78496225024807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Charts!$AT$283</c:f>
              <c:strCache>
                <c:ptCount val="1"/>
                <c:pt idx="0">
                  <c:v>Heating System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Charts!$AT$284:$AT$299</c:f>
              <c:numCache>
                <c:formatCode>#,##0</c:formatCode>
                <c:ptCount val="16"/>
                <c:pt idx="0">
                  <c:v>141.94137254070085</c:v>
                </c:pt>
                <c:pt idx="1">
                  <c:v>141.16312562477009</c:v>
                </c:pt>
                <c:pt idx="2">
                  <c:v>140.63143069831921</c:v>
                </c:pt>
                <c:pt idx="3">
                  <c:v>140.42244471264382</c:v>
                </c:pt>
                <c:pt idx="4">
                  <c:v>139.95415295799552</c:v>
                </c:pt>
                <c:pt idx="5">
                  <c:v>137.73814379032225</c:v>
                </c:pt>
                <c:pt idx="6">
                  <c:v>136.0388573923679</c:v>
                </c:pt>
                <c:pt idx="7">
                  <c:v>134.34445012214402</c:v>
                </c:pt>
                <c:pt idx="8">
                  <c:v>133.06690472791109</c:v>
                </c:pt>
                <c:pt idx="9">
                  <c:v>131.68437482019723</c:v>
                </c:pt>
                <c:pt idx="10">
                  <c:v>130.36714714613146</c:v>
                </c:pt>
                <c:pt idx="11">
                  <c:v>129.07975767634085</c:v>
                </c:pt>
                <c:pt idx="12">
                  <c:v>127.97099700590836</c:v>
                </c:pt>
                <c:pt idx="13">
                  <c:v>126.84372675145943</c:v>
                </c:pt>
                <c:pt idx="14">
                  <c:v>125.86018318945371</c:v>
                </c:pt>
                <c:pt idx="15">
                  <c:v>124.91967602030323</c:v>
                </c:pt>
              </c:numCache>
            </c:numRef>
          </c:val>
        </c:ser>
        <c:ser>
          <c:idx val="2"/>
          <c:order val="1"/>
          <c:tx>
            <c:strRef>
              <c:f>Charts!$AU$283</c:f>
              <c:strCache>
                <c:ptCount val="1"/>
                <c:pt idx="0">
                  <c:v>Electric System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Charts!$AU$284:$AU$299</c:f>
              <c:numCache>
                <c:formatCode>#,##0</c:formatCode>
                <c:ptCount val="16"/>
                <c:pt idx="0">
                  <c:v>9.9412400000000005</c:v>
                </c:pt>
                <c:pt idx="1">
                  <c:v>14.099813133333333</c:v>
                </c:pt>
                <c:pt idx="2">
                  <c:v>12.453016266666667</c:v>
                </c:pt>
                <c:pt idx="3">
                  <c:v>22.564089399999997</c:v>
                </c:pt>
                <c:pt idx="4">
                  <c:v>16.189932533333334</c:v>
                </c:pt>
                <c:pt idx="5">
                  <c:v>53.366185666666667</c:v>
                </c:pt>
                <c:pt idx="6">
                  <c:v>51.100963100000001</c:v>
                </c:pt>
                <c:pt idx="7">
                  <c:v>49.855810533333319</c:v>
                </c:pt>
                <c:pt idx="8">
                  <c:v>48.767347966666669</c:v>
                </c:pt>
                <c:pt idx="9">
                  <c:v>50.909455399999999</c:v>
                </c:pt>
                <c:pt idx="10">
                  <c:v>48.423562833333328</c:v>
                </c:pt>
                <c:pt idx="11">
                  <c:v>47.827670266666665</c:v>
                </c:pt>
                <c:pt idx="12">
                  <c:v>47.912097699999997</c:v>
                </c:pt>
                <c:pt idx="13">
                  <c:v>51.014955133333338</c:v>
                </c:pt>
                <c:pt idx="14">
                  <c:v>52.801992566666655</c:v>
                </c:pt>
                <c:pt idx="15">
                  <c:v>46.043170000000003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552000"/>
        <c:axId val="153553536"/>
      </c:barChart>
      <c:lineChart>
        <c:grouping val="standard"/>
        <c:varyColors val="0"/>
        <c:ser>
          <c:idx val="3"/>
          <c:order val="2"/>
          <c:tx>
            <c:strRef>
              <c:f>Charts!$AV$283</c:f>
              <c:strCache>
                <c:ptCount val="1"/>
                <c:pt idx="0">
                  <c:v>Existing Pipeline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Charts!$AV$284:$AV$299</c:f>
              <c:numCache>
                <c:formatCode>#,##0</c:formatCode>
                <c:ptCount val="16"/>
                <c:pt idx="0">
                  <c:v>85.720249999999993</c:v>
                </c:pt>
                <c:pt idx="1">
                  <c:v>99.970249999999993</c:v>
                </c:pt>
                <c:pt idx="2">
                  <c:v>99.970249999999993</c:v>
                </c:pt>
                <c:pt idx="3">
                  <c:v>99.970249999999993</c:v>
                </c:pt>
                <c:pt idx="4">
                  <c:v>99.970249999999993</c:v>
                </c:pt>
                <c:pt idx="5">
                  <c:v>99.970249999999993</c:v>
                </c:pt>
                <c:pt idx="6">
                  <c:v>99.970249999999993</c:v>
                </c:pt>
                <c:pt idx="7">
                  <c:v>99.970249999999993</c:v>
                </c:pt>
                <c:pt idx="8">
                  <c:v>99.970249999999993</c:v>
                </c:pt>
                <c:pt idx="9">
                  <c:v>99.970249999999993</c:v>
                </c:pt>
                <c:pt idx="10">
                  <c:v>99.970249999999993</c:v>
                </c:pt>
                <c:pt idx="11">
                  <c:v>99.970249999999993</c:v>
                </c:pt>
                <c:pt idx="12">
                  <c:v>99.970249999999993</c:v>
                </c:pt>
                <c:pt idx="13">
                  <c:v>99.970249999999993</c:v>
                </c:pt>
                <c:pt idx="14">
                  <c:v>99.970249999999993</c:v>
                </c:pt>
                <c:pt idx="15">
                  <c:v>99.970249999999993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Charts!$AW$283</c:f>
              <c:strCache>
                <c:ptCount val="1"/>
                <c:pt idx="0">
                  <c:v>Existing Pipeline plus Vaporization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Charts!$AW$284:$AW$299</c:f>
              <c:numCache>
                <c:formatCode>#,##0</c:formatCode>
                <c:ptCount val="16"/>
                <c:pt idx="0">
                  <c:v>153.64758333333333</c:v>
                </c:pt>
                <c:pt idx="1">
                  <c:v>167.89758333333333</c:v>
                </c:pt>
                <c:pt idx="2">
                  <c:v>167.89758333333333</c:v>
                </c:pt>
                <c:pt idx="3">
                  <c:v>167.89758333333333</c:v>
                </c:pt>
                <c:pt idx="4">
                  <c:v>167.89758333333333</c:v>
                </c:pt>
                <c:pt idx="5">
                  <c:v>167.89758333333333</c:v>
                </c:pt>
                <c:pt idx="6">
                  <c:v>167.89758333333333</c:v>
                </c:pt>
                <c:pt idx="7">
                  <c:v>167.89758333333333</c:v>
                </c:pt>
                <c:pt idx="8">
                  <c:v>167.89758333333333</c:v>
                </c:pt>
                <c:pt idx="9">
                  <c:v>167.89758333333333</c:v>
                </c:pt>
                <c:pt idx="10">
                  <c:v>167.89758333333333</c:v>
                </c:pt>
                <c:pt idx="11">
                  <c:v>167.89758333333333</c:v>
                </c:pt>
                <c:pt idx="12">
                  <c:v>167.89758333333333</c:v>
                </c:pt>
                <c:pt idx="13">
                  <c:v>167.89758333333333</c:v>
                </c:pt>
                <c:pt idx="14">
                  <c:v>167.89758333333333</c:v>
                </c:pt>
                <c:pt idx="15">
                  <c:v>167.89758333333333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52000"/>
        <c:axId val="153553536"/>
      </c:lineChart>
      <c:catAx>
        <c:axId val="15355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3553536"/>
        <c:crosses val="autoZero"/>
        <c:auto val="1"/>
        <c:lblAlgn val="ctr"/>
        <c:lblOffset val="100"/>
        <c:noMultiLvlLbl val="0"/>
      </c:catAx>
      <c:valAx>
        <c:axId val="153553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Billion Btu / Peak Hour</a:t>
                </a:r>
              </a:p>
            </c:rich>
          </c:tx>
          <c:layout>
            <c:manualLayout>
              <c:xMode val="edge"/>
              <c:yMode val="edge"/>
              <c:x val="3.8627698153218482E-2"/>
              <c:y val="0.2284837852892103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355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2959398305388"/>
          <c:y val="7.2636617052828048E-2"/>
          <c:w val="0.79979015649189511"/>
          <c:h val="0.78496225024807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Charts!$AY$283</c:f>
              <c:strCache>
                <c:ptCount val="1"/>
                <c:pt idx="0">
                  <c:v>Heating System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Charts!$AY$284:$AY$299</c:f>
              <c:numCache>
                <c:formatCode>#,##0</c:formatCode>
                <c:ptCount val="16"/>
                <c:pt idx="0">
                  <c:v>141.94137254070085</c:v>
                </c:pt>
                <c:pt idx="1">
                  <c:v>141.16312562477009</c:v>
                </c:pt>
                <c:pt idx="2">
                  <c:v>140.63143069831921</c:v>
                </c:pt>
                <c:pt idx="3">
                  <c:v>140.42244471264382</c:v>
                </c:pt>
                <c:pt idx="4">
                  <c:v>139.95415295799552</c:v>
                </c:pt>
                <c:pt idx="5">
                  <c:v>137.73814379032225</c:v>
                </c:pt>
                <c:pt idx="6">
                  <c:v>136.0388573923679</c:v>
                </c:pt>
                <c:pt idx="7">
                  <c:v>134.34445012214402</c:v>
                </c:pt>
                <c:pt idx="8">
                  <c:v>133.06690472791109</c:v>
                </c:pt>
                <c:pt idx="9">
                  <c:v>131.68437482019723</c:v>
                </c:pt>
                <c:pt idx="10">
                  <c:v>130.36714714613146</c:v>
                </c:pt>
                <c:pt idx="11">
                  <c:v>129.07975767634085</c:v>
                </c:pt>
                <c:pt idx="12">
                  <c:v>127.97099700590836</c:v>
                </c:pt>
                <c:pt idx="13">
                  <c:v>126.84372675145943</c:v>
                </c:pt>
                <c:pt idx="14">
                  <c:v>125.86018318945371</c:v>
                </c:pt>
                <c:pt idx="15">
                  <c:v>124.91967602030323</c:v>
                </c:pt>
              </c:numCache>
            </c:numRef>
          </c:val>
        </c:ser>
        <c:ser>
          <c:idx val="2"/>
          <c:order val="1"/>
          <c:tx>
            <c:strRef>
              <c:f>Charts!$AZ$283</c:f>
              <c:strCache>
                <c:ptCount val="1"/>
                <c:pt idx="0">
                  <c:v>Electric System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Charts!$AZ$284:$AZ$299</c:f>
              <c:numCache>
                <c:formatCode>#,##0</c:formatCode>
                <c:ptCount val="16"/>
                <c:pt idx="0">
                  <c:v>9.9412400000000005</c:v>
                </c:pt>
                <c:pt idx="1">
                  <c:v>14.079893</c:v>
                </c:pt>
                <c:pt idx="2">
                  <c:v>12.413176</c:v>
                </c:pt>
                <c:pt idx="3">
                  <c:v>19.111969000000002</c:v>
                </c:pt>
                <c:pt idx="4">
                  <c:v>16.110251999999999</c:v>
                </c:pt>
                <c:pt idx="5">
                  <c:v>49.82453499999999</c:v>
                </c:pt>
                <c:pt idx="6">
                  <c:v>51.386969166666667</c:v>
                </c:pt>
                <c:pt idx="7">
                  <c:v>42.807323333333322</c:v>
                </c:pt>
                <c:pt idx="8">
                  <c:v>42.104467500000005</c:v>
                </c:pt>
                <c:pt idx="9">
                  <c:v>43.984651666666657</c:v>
                </c:pt>
                <c:pt idx="10">
                  <c:v>43.774365833333327</c:v>
                </c:pt>
                <c:pt idx="11">
                  <c:v>43.564079999999997</c:v>
                </c:pt>
                <c:pt idx="12">
                  <c:v>44.681644166666665</c:v>
                </c:pt>
                <c:pt idx="13">
                  <c:v>48.663038333333333</c:v>
                </c:pt>
                <c:pt idx="14">
                  <c:v>47.805222499999992</c:v>
                </c:pt>
                <c:pt idx="15">
                  <c:v>46.473246666666661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601536"/>
        <c:axId val="153603072"/>
      </c:barChart>
      <c:lineChart>
        <c:grouping val="standard"/>
        <c:varyColors val="0"/>
        <c:ser>
          <c:idx val="3"/>
          <c:order val="2"/>
          <c:tx>
            <c:strRef>
              <c:f>Charts!$BA$283</c:f>
              <c:strCache>
                <c:ptCount val="1"/>
                <c:pt idx="0">
                  <c:v>Existing Pipeline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Charts!$BA$284:$BA$299</c:f>
              <c:numCache>
                <c:formatCode>#,##0</c:formatCode>
                <c:ptCount val="16"/>
                <c:pt idx="0">
                  <c:v>85.720249999999993</c:v>
                </c:pt>
                <c:pt idx="1">
                  <c:v>99.970249999999993</c:v>
                </c:pt>
                <c:pt idx="2">
                  <c:v>99.970249999999993</c:v>
                </c:pt>
                <c:pt idx="3">
                  <c:v>99.970249999999993</c:v>
                </c:pt>
                <c:pt idx="4">
                  <c:v>99.970249999999993</c:v>
                </c:pt>
                <c:pt idx="5">
                  <c:v>99.970249999999993</c:v>
                </c:pt>
                <c:pt idx="6">
                  <c:v>99.970249999999993</c:v>
                </c:pt>
                <c:pt idx="7">
                  <c:v>99.970249999999993</c:v>
                </c:pt>
                <c:pt idx="8">
                  <c:v>99.970249999999993</c:v>
                </c:pt>
                <c:pt idx="9">
                  <c:v>99.970249999999993</c:v>
                </c:pt>
                <c:pt idx="10">
                  <c:v>99.970249999999993</c:v>
                </c:pt>
                <c:pt idx="11">
                  <c:v>99.970249999999993</c:v>
                </c:pt>
                <c:pt idx="12">
                  <c:v>99.970249999999993</c:v>
                </c:pt>
                <c:pt idx="13">
                  <c:v>99.970249999999993</c:v>
                </c:pt>
                <c:pt idx="14">
                  <c:v>99.970249999999993</c:v>
                </c:pt>
                <c:pt idx="15">
                  <c:v>99.970249999999993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Charts!$BB$283</c:f>
              <c:strCache>
                <c:ptCount val="1"/>
                <c:pt idx="0">
                  <c:v>Existing Pipeline plus Vaporization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Charts!$BB$284:$BB$299</c:f>
              <c:numCache>
                <c:formatCode>#,##0</c:formatCode>
                <c:ptCount val="16"/>
                <c:pt idx="0">
                  <c:v>153.64758333333333</c:v>
                </c:pt>
                <c:pt idx="1">
                  <c:v>167.89758333333333</c:v>
                </c:pt>
                <c:pt idx="2">
                  <c:v>167.89758333333333</c:v>
                </c:pt>
                <c:pt idx="3">
                  <c:v>167.89758333333333</c:v>
                </c:pt>
                <c:pt idx="4">
                  <c:v>167.89758333333333</c:v>
                </c:pt>
                <c:pt idx="5">
                  <c:v>167.89758333333333</c:v>
                </c:pt>
                <c:pt idx="6">
                  <c:v>167.89758333333333</c:v>
                </c:pt>
                <c:pt idx="7">
                  <c:v>167.89758333333333</c:v>
                </c:pt>
                <c:pt idx="8">
                  <c:v>167.89758333333333</c:v>
                </c:pt>
                <c:pt idx="9">
                  <c:v>167.89758333333333</c:v>
                </c:pt>
                <c:pt idx="10">
                  <c:v>167.89758333333333</c:v>
                </c:pt>
                <c:pt idx="11">
                  <c:v>167.89758333333333</c:v>
                </c:pt>
                <c:pt idx="12">
                  <c:v>167.89758333333333</c:v>
                </c:pt>
                <c:pt idx="13">
                  <c:v>167.89758333333333</c:v>
                </c:pt>
                <c:pt idx="14">
                  <c:v>167.89758333333333</c:v>
                </c:pt>
                <c:pt idx="15">
                  <c:v>167.89758333333333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1536"/>
        <c:axId val="153603072"/>
      </c:lineChart>
      <c:catAx>
        <c:axId val="15360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3603072"/>
        <c:crosses val="autoZero"/>
        <c:auto val="1"/>
        <c:lblAlgn val="ctr"/>
        <c:lblOffset val="100"/>
        <c:noMultiLvlLbl val="0"/>
      </c:catAx>
      <c:valAx>
        <c:axId val="153603072"/>
        <c:scaling>
          <c:orientation val="minMax"/>
          <c:max val="2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Billion Btu / Peak Hour</a:t>
                </a:r>
              </a:p>
            </c:rich>
          </c:tx>
          <c:layout>
            <c:manualLayout>
              <c:xMode val="edge"/>
              <c:yMode val="edge"/>
              <c:x val="3.8627698153218482E-2"/>
              <c:y val="0.2284837852892103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360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59398305388"/>
          <c:y val="6.904303167423681E-2"/>
          <c:w val="0.76739463535682984"/>
          <c:h val="0.78093913323352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Charts!$AI$346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Charts!$AJ$328:$AQ$328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Charts!$AJ$346:$AQ$346</c:f>
              <c:numCache>
                <c:formatCode>#,##0</c:formatCode>
                <c:ptCount val="8"/>
                <c:pt idx="0">
                  <c:v>37.499999999999993</c:v>
                </c:pt>
                <c:pt idx="1">
                  <c:v>37.499999999999993</c:v>
                </c:pt>
                <c:pt idx="2">
                  <c:v>37.499999999999993</c:v>
                </c:pt>
                <c:pt idx="3">
                  <c:v>33.333333333333329</c:v>
                </c:pt>
                <c:pt idx="4">
                  <c:v>29.166666666666664</c:v>
                </c:pt>
                <c:pt idx="5">
                  <c:v>29.166666666666664</c:v>
                </c:pt>
                <c:pt idx="6">
                  <c:v>24.999999999999996</c:v>
                </c:pt>
                <c:pt idx="7">
                  <c:v>24.999999999999996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017152"/>
        <c:axId val="154051712"/>
      </c:barChart>
      <c:catAx>
        <c:axId val="154017152"/>
        <c:scaling>
          <c:orientation val="minMax"/>
        </c:scaling>
        <c:delete val="0"/>
        <c:axPos val="b"/>
        <c:majorTickMark val="out"/>
        <c:minorTickMark val="none"/>
        <c:tickLblPos val="low"/>
        <c:crossAx val="154051712"/>
        <c:crosses val="autoZero"/>
        <c:auto val="1"/>
        <c:lblAlgn val="ctr"/>
        <c:lblOffset val="100"/>
        <c:noMultiLvlLbl val="0"/>
      </c:catAx>
      <c:valAx>
        <c:axId val="154051712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 i="0" u="none" strike="noStrike" baseline="0">
                    <a:effectLst/>
                  </a:rPr>
                  <a:t>Incremental Pipeline Required</a:t>
                </a:r>
                <a:r>
                  <a:rPr lang="en-US" sz="1200" b="0"/>
                  <a:t>
(Billion Btu</a:t>
                </a:r>
                <a:r>
                  <a:rPr lang="en-US" sz="1200" b="0" baseline="0"/>
                  <a:t> / Peak Hour)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3.3181484061941019E-2"/>
              <c:y val="0.1431198043018369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401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6990493581825018"/>
          <c:h val="0.78426508781899307"/>
        </c:manualLayout>
      </c:layout>
      <c:lineChart>
        <c:grouping val="standard"/>
        <c:varyColors val="0"/>
        <c:ser>
          <c:idx val="0"/>
          <c:order val="0"/>
          <c:tx>
            <c:strRef>
              <c:f>Charts!$AN$15</c:f>
              <c:strCache>
                <c:ptCount val="1"/>
                <c:pt idx="0">
                  <c:v>Scen 5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0.35259267828149077"/>
                  <c:y val="0.15785682710642721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1"/>
                        </a:solidFill>
                      </a:defRPr>
                    </a:pPr>
                    <a:r>
                      <a:rPr lang="en-US">
                        <a:solidFill>
                          <a:schemeClr val="accent1"/>
                        </a:solidFill>
                      </a:rPr>
                      <a:t>Low Demand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Charts!$AN$16:$AN$31</c:f>
              <c:numCache>
                <c:formatCode>"$"#,##0</c:formatCode>
                <c:ptCount val="16"/>
                <c:pt idx="0">
                  <c:v>11.287427640083779</c:v>
                </c:pt>
                <c:pt idx="1">
                  <c:v>13.999323889352766</c:v>
                </c:pt>
                <c:pt idx="2">
                  <c:v>63.819087618632537</c:v>
                </c:pt>
                <c:pt idx="3">
                  <c:v>84.70016867664819</c:v>
                </c:pt>
                <c:pt idx="4">
                  <c:v>80.184125733472143</c:v>
                </c:pt>
                <c:pt idx="5">
                  <c:v>24.282940431652023</c:v>
                </c:pt>
                <c:pt idx="6">
                  <c:v>52.316333861813121</c:v>
                </c:pt>
                <c:pt idx="7">
                  <c:v>76.250298234775357</c:v>
                </c:pt>
                <c:pt idx="8">
                  <c:v>99.635934634507748</c:v>
                </c:pt>
                <c:pt idx="9">
                  <c:v>120.3620544481771</c:v>
                </c:pt>
                <c:pt idx="10">
                  <c:v>136.3678141471969</c:v>
                </c:pt>
                <c:pt idx="11">
                  <c:v>156.10875766015806</c:v>
                </c:pt>
                <c:pt idx="12">
                  <c:v>173.19121149115472</c:v>
                </c:pt>
                <c:pt idx="13">
                  <c:v>178.33279232156815</c:v>
                </c:pt>
                <c:pt idx="14">
                  <c:v>184.51009650876381</c:v>
                </c:pt>
                <c:pt idx="15">
                  <c:v>181.98295562400506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Charts!$AQ$15</c:f>
              <c:strCache>
                <c:ptCount val="1"/>
                <c:pt idx="0">
                  <c:v>Scen 8</c:v>
                </c:pt>
              </c:strCache>
            </c:strRef>
          </c:tx>
          <c:marker>
            <c:symbol val="none"/>
          </c:marker>
          <c:dLbls>
            <c:dLbl>
              <c:idx val="15"/>
              <c:layout>
                <c:manualLayout>
                  <c:x val="-0.5225930501101026"/>
                  <c:y val="5.8852700765892406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Low Demand </a:t>
                    </a:r>
                  </a:p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+ Incremental Canadian</a:t>
                    </a:r>
                    <a:r>
                      <a:rPr lang="en-US" b="1" baseline="0">
                        <a:solidFill>
                          <a:schemeClr val="accent4"/>
                        </a:solidFill>
                      </a:rPr>
                      <a:t> Transmission</a:t>
                    </a:r>
                    <a:endParaRPr lang="en-US" b="1">
                      <a:solidFill>
                        <a:schemeClr val="accent4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Charts!$AQ$16:$AQ$31</c:f>
              <c:numCache>
                <c:formatCode>"$"#,##0</c:formatCode>
                <c:ptCount val="16"/>
                <c:pt idx="0">
                  <c:v>11.287427640083779</c:v>
                </c:pt>
                <c:pt idx="1">
                  <c:v>14.016703480209983</c:v>
                </c:pt>
                <c:pt idx="2">
                  <c:v>63.853849066258434</c:v>
                </c:pt>
                <c:pt idx="3">
                  <c:v>41.752493393755032</c:v>
                </c:pt>
                <c:pt idx="4">
                  <c:v>39.498243944281484</c:v>
                </c:pt>
                <c:pt idx="5">
                  <c:v>50.976482524792971</c:v>
                </c:pt>
                <c:pt idx="6">
                  <c:v>67.187603635943674</c:v>
                </c:pt>
                <c:pt idx="7">
                  <c:v>193.66478198801497</c:v>
                </c:pt>
                <c:pt idx="8">
                  <c:v>215.24076862277241</c:v>
                </c:pt>
                <c:pt idx="9">
                  <c:v>228.30448102890034</c:v>
                </c:pt>
                <c:pt idx="10">
                  <c:v>237.14790678365841</c:v>
                </c:pt>
                <c:pt idx="11">
                  <c:v>254.38459639021119</c:v>
                </c:pt>
                <c:pt idx="12">
                  <c:v>267.68900089888859</c:v>
                </c:pt>
                <c:pt idx="13">
                  <c:v>269.17826829386524</c:v>
                </c:pt>
                <c:pt idx="14">
                  <c:v>268.44891873250469</c:v>
                </c:pt>
                <c:pt idx="15">
                  <c:v>256.21692781470438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Charts!$AJ$15</c:f>
              <c:strCache>
                <c:ptCount val="1"/>
                <c:pt idx="0">
                  <c:v>Scen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4.1975318843034621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Base Case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Charts!$AJ$16:$AJ$31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00864"/>
        <c:axId val="154102400"/>
      </c:lineChart>
      <c:catAx>
        <c:axId val="15410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4102400"/>
        <c:crosses val="autoZero"/>
        <c:auto val="1"/>
        <c:lblAlgn val="ctr"/>
        <c:lblOffset val="100"/>
        <c:noMultiLvlLbl val="0"/>
      </c:catAx>
      <c:valAx>
        <c:axId val="154102400"/>
        <c:scaling>
          <c:orientation val="minMax"/>
          <c:max val="300"/>
          <c:min val="-3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Delta Costs from Base </a:t>
                </a:r>
              </a:p>
              <a:p>
                <a:pPr>
                  <a:defRPr sz="1200" b="0"/>
                </a:pPr>
                <a:r>
                  <a:rPr lang="en-US" sz="1200" b="0"/>
                  <a:t>(2013 $ M)</a:t>
                </a:r>
              </a:p>
            </c:rich>
          </c:tx>
          <c:layout>
            <c:manualLayout>
              <c:xMode val="edge"/>
              <c:yMode val="edge"/>
              <c:x val="1.3442513230901435E-2"/>
              <c:y val="0.22799760457438328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>
            <a:noFill/>
          </a:ln>
        </c:spPr>
        <c:crossAx val="154100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79979012340578493"/>
          <c:h val="0.78426508781899307"/>
        </c:manualLayout>
      </c:layout>
      <c:lineChart>
        <c:grouping val="standard"/>
        <c:varyColors val="0"/>
        <c:ser>
          <c:idx val="0"/>
          <c:order val="0"/>
          <c:tx>
            <c:strRef>
              <c:f>Charts!$AJ$15</c:f>
              <c:strCache>
                <c:ptCount val="1"/>
                <c:pt idx="0">
                  <c:v>Scen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0.10283953116543482"/>
                  <c:y val="-5.261904860553145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Base Case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S1_BaseRefNGNoHydro!$P$29:$P$44</c:f>
              <c:numCache>
                <c:formatCode>#,##0</c:formatCode>
                <c:ptCount val="16"/>
                <c:pt idx="0">
                  <c:v>30.63022584219868</c:v>
                </c:pt>
                <c:pt idx="1">
                  <c:v>30.688670850116416</c:v>
                </c:pt>
                <c:pt idx="2">
                  <c:v>30.199106667311675</c:v>
                </c:pt>
                <c:pt idx="3">
                  <c:v>29.459136692202392</c:v>
                </c:pt>
                <c:pt idx="4">
                  <c:v>29.773830911881717</c:v>
                </c:pt>
                <c:pt idx="5">
                  <c:v>29.479301897657706</c:v>
                </c:pt>
                <c:pt idx="6">
                  <c:v>29.265809122509793</c:v>
                </c:pt>
                <c:pt idx="7">
                  <c:v>28.895090638502644</c:v>
                </c:pt>
                <c:pt idx="8">
                  <c:v>28.971355118322933</c:v>
                </c:pt>
                <c:pt idx="9">
                  <c:v>28.736648537879525</c:v>
                </c:pt>
                <c:pt idx="10">
                  <c:v>28.940148107656491</c:v>
                </c:pt>
                <c:pt idx="11">
                  <c:v>28.770566171479516</c:v>
                </c:pt>
                <c:pt idx="12">
                  <c:v>28.797894690229146</c:v>
                </c:pt>
                <c:pt idx="13">
                  <c:v>28.906181401008652</c:v>
                </c:pt>
                <c:pt idx="14">
                  <c:v>29.254628662169029</c:v>
                </c:pt>
                <c:pt idx="15">
                  <c:v>28.946403150433689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Charts!$AN$15</c:f>
              <c:strCache>
                <c:ptCount val="1"/>
                <c:pt idx="0">
                  <c:v>Scen 5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0.16370374348783492"/>
                  <c:y val="-0.11333365416823495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1"/>
                        </a:solidFill>
                      </a:defRPr>
                    </a:pPr>
                    <a:r>
                      <a:rPr lang="en-US">
                        <a:solidFill>
                          <a:schemeClr val="accent1"/>
                        </a:solidFill>
                      </a:rPr>
                      <a:t>Low Demand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S5_LowRefNGNoHydro!$P$29:$P$44</c:f>
              <c:numCache>
                <c:formatCode>#,##0</c:formatCode>
                <c:ptCount val="16"/>
                <c:pt idx="0">
                  <c:v>30.694014888860618</c:v>
                </c:pt>
                <c:pt idx="1">
                  <c:v>30.318568750810392</c:v>
                </c:pt>
                <c:pt idx="2">
                  <c:v>29.372967850905923</c:v>
                </c:pt>
                <c:pt idx="3">
                  <c:v>28.251404677212161</c:v>
                </c:pt>
                <c:pt idx="4">
                  <c:v>28.122977506887118</c:v>
                </c:pt>
                <c:pt idx="5">
                  <c:v>27.330828832012479</c:v>
                </c:pt>
                <c:pt idx="6">
                  <c:v>26.342322203276609</c:v>
                </c:pt>
                <c:pt idx="7">
                  <c:v>25.086673470590029</c:v>
                </c:pt>
                <c:pt idx="8">
                  <c:v>24.378233985636214</c:v>
                </c:pt>
                <c:pt idx="9">
                  <c:v>23.42007265421196</c:v>
                </c:pt>
                <c:pt idx="10">
                  <c:v>22.748262393354377</c:v>
                </c:pt>
                <c:pt idx="11">
                  <c:v>21.85194765520837</c:v>
                </c:pt>
                <c:pt idx="12">
                  <c:v>21.101137398328344</c:v>
                </c:pt>
                <c:pt idx="13">
                  <c:v>20.463782022477996</c:v>
                </c:pt>
                <c:pt idx="14">
                  <c:v>20.006499315094192</c:v>
                </c:pt>
                <c:pt idx="15">
                  <c:v>19.033150813173375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5"/>
          </c:marker>
          <c:dLbls>
            <c:dLbl>
              <c:idx val="5"/>
              <c:layout>
                <c:manualLayout>
                  <c:x val="-0.15847781629187721"/>
                  <c:y val="8.0952356669708909E-3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2020 GWSA Target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9.5110288497688461E-2"/>
                  <c:y val="0.1821428605576089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2030 GWSA Target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Charts!$AJ$152:$AJ$167</c:f>
                <c:numCache>
                  <c:formatCode>General</c:formatCode>
                  <c:ptCount val="16"/>
                  <c:pt idx="5">
                    <c:v>23.326496260794567</c:v>
                  </c:pt>
                  <c:pt idx="15">
                    <c:v>18.676721162166132</c:v>
                  </c:pt>
                </c:numCache>
              </c:numRef>
            </c:minus>
            <c:spPr>
              <a:ln w="41275">
                <a:solidFill>
                  <a:schemeClr val="accent3"/>
                </a:solidFill>
              </a:ln>
            </c:spPr>
          </c:errBars>
          <c:val>
            <c:numRef>
              <c:f>Charts!$AJ$152:$AJ$168</c:f>
              <c:numCache>
                <c:formatCode>General</c:formatCode>
                <c:ptCount val="17"/>
                <c:pt idx="5" formatCode="#,##0">
                  <c:v>23.326496260794567</c:v>
                </c:pt>
                <c:pt idx="15" formatCode="#,##0">
                  <c:v>18.676721162166132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Charts!$AQ$129</c:f>
              <c:strCache>
                <c:ptCount val="1"/>
                <c:pt idx="0">
                  <c:v>Scen 8</c:v>
                </c:pt>
              </c:strCache>
            </c:strRef>
          </c:tx>
          <c:marker>
            <c:symbol val="none"/>
          </c:marker>
          <c:dLbls>
            <c:dLbl>
              <c:idx val="8"/>
              <c:tx>
                <c:rich>
                  <a:bodyPr/>
                  <a:lstStyle/>
                  <a:p>
                    <a:pPr>
                      <a:defRPr sz="1000" b="1">
                        <a:solidFill>
                          <a:schemeClr val="accent4"/>
                        </a:solidFill>
                      </a:defRPr>
                    </a:pPr>
                    <a:r>
                      <a:rPr lang="en-US" sz="1000" b="1" i="0" baseline="0">
                        <a:effectLst/>
                      </a:rPr>
                      <a:t>Low Demand </a:t>
                    </a:r>
                    <a:endParaRPr lang="en-US" sz="1000">
                      <a:effectLst/>
                    </a:endParaRPr>
                  </a:p>
                  <a:p>
                    <a:pPr>
                      <a:defRPr sz="1000" b="1">
                        <a:solidFill>
                          <a:schemeClr val="accent4"/>
                        </a:solidFill>
                      </a:defRPr>
                    </a:pPr>
                    <a:r>
                      <a:rPr lang="en-US" sz="1000" b="1" i="0" baseline="0">
                        <a:effectLst/>
                      </a:rPr>
                      <a:t>+ Incremental Canadian Transmission</a:t>
                    </a:r>
                    <a:endParaRPr lang="en-US">
                      <a:effectLst/>
                    </a:endParaRPr>
                  </a:p>
                </c:rich>
              </c:tx>
              <c:spPr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S8_LowRefNGHydro!$P$29:$P$44</c:f>
              <c:numCache>
                <c:formatCode>#,##0</c:formatCode>
                <c:ptCount val="16"/>
                <c:pt idx="0">
                  <c:v>30.694014888860618</c:v>
                </c:pt>
                <c:pt idx="1">
                  <c:v>30.3185687508104</c:v>
                </c:pt>
                <c:pt idx="2">
                  <c:v>29.37296785337179</c:v>
                </c:pt>
                <c:pt idx="3">
                  <c:v>26.062785869136384</c:v>
                </c:pt>
                <c:pt idx="4">
                  <c:v>25.882533883579434</c:v>
                </c:pt>
                <c:pt idx="5">
                  <c:v>24.961516642509338</c:v>
                </c:pt>
                <c:pt idx="6">
                  <c:v>24.035642565245126</c:v>
                </c:pt>
                <c:pt idx="7">
                  <c:v>21.135740382092706</c:v>
                </c:pt>
                <c:pt idx="8">
                  <c:v>20.442652527476255</c:v>
                </c:pt>
                <c:pt idx="9">
                  <c:v>19.666526322341277</c:v>
                </c:pt>
                <c:pt idx="10">
                  <c:v>18.975977557966836</c:v>
                </c:pt>
                <c:pt idx="11">
                  <c:v>18.168572102443171</c:v>
                </c:pt>
                <c:pt idx="12">
                  <c:v>17.450266226053117</c:v>
                </c:pt>
                <c:pt idx="13">
                  <c:v>16.92487907655287</c:v>
                </c:pt>
                <c:pt idx="14">
                  <c:v>16.425620161539776</c:v>
                </c:pt>
                <c:pt idx="15">
                  <c:v>15.623256431578771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57824"/>
        <c:axId val="154159360"/>
      </c:lineChart>
      <c:catAx>
        <c:axId val="15415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4159360"/>
        <c:crosses val="autoZero"/>
        <c:auto val="1"/>
        <c:lblAlgn val="ctr"/>
        <c:lblOffset val="100"/>
        <c:noMultiLvlLbl val="0"/>
      </c:catAx>
      <c:valAx>
        <c:axId val="154159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 i="0" baseline="0">
                    <a:effectLst/>
                  </a:rPr>
                  <a:t>Annual CO</a:t>
                </a:r>
                <a:r>
                  <a:rPr lang="en-US" sz="1200" b="0" i="0" baseline="-25000">
                    <a:effectLst/>
                  </a:rPr>
                  <a:t>2</a:t>
                </a:r>
                <a:r>
                  <a:rPr lang="en-US" sz="1200" b="0" i="0" baseline="0">
                    <a:effectLst/>
                  </a:rPr>
                  <a:t> Emissions</a:t>
                </a:r>
                <a:br>
                  <a:rPr lang="en-US" sz="1200" b="0" i="0" baseline="0">
                    <a:effectLst/>
                  </a:rPr>
                </a:br>
                <a:r>
                  <a:rPr lang="en-US" sz="1200" b="0" i="0" baseline="0">
                    <a:effectLst/>
                  </a:rPr>
                  <a:t>(Million Metric Tons)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3936342941660093E-2"/>
              <c:y val="0.2279976045743833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4157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2959398305388"/>
          <c:y val="0.11041422189435213"/>
          <c:w val="0.71374076708395195"/>
          <c:h val="0.669889676008485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Charts!$AJ$283</c:f>
              <c:strCache>
                <c:ptCount val="1"/>
                <c:pt idx="0">
                  <c:v>Heating System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Charts!$AJ$284:$AJ$299</c:f>
              <c:numCache>
                <c:formatCode>#,##0</c:formatCode>
                <c:ptCount val="16"/>
                <c:pt idx="0">
                  <c:v>141.94137254070085</c:v>
                </c:pt>
                <c:pt idx="1">
                  <c:v>142.36789135466694</c:v>
                </c:pt>
                <c:pt idx="2">
                  <c:v>142.5731474960993</c:v>
                </c:pt>
                <c:pt idx="3">
                  <c:v>143.19082471359721</c:v>
                </c:pt>
                <c:pt idx="4">
                  <c:v>143.638908297412</c:v>
                </c:pt>
                <c:pt idx="5">
                  <c:v>142.33927446820192</c:v>
                </c:pt>
                <c:pt idx="6">
                  <c:v>141.55636340871075</c:v>
                </c:pt>
                <c:pt idx="7">
                  <c:v>140.77833147695</c:v>
                </c:pt>
                <c:pt idx="8">
                  <c:v>140.4171614211802</c:v>
                </c:pt>
                <c:pt idx="9">
                  <c:v>139.95100685192952</c:v>
                </c:pt>
                <c:pt idx="10">
                  <c:v>139.55015451632687</c:v>
                </c:pt>
                <c:pt idx="11">
                  <c:v>139.17914038499944</c:v>
                </c:pt>
                <c:pt idx="12">
                  <c:v>138.98675505303009</c:v>
                </c:pt>
                <c:pt idx="13">
                  <c:v>138.77586013704433</c:v>
                </c:pt>
                <c:pt idx="14">
                  <c:v>138.70869191350175</c:v>
                </c:pt>
                <c:pt idx="15">
                  <c:v>138.68456008281441</c:v>
                </c:pt>
              </c:numCache>
            </c:numRef>
          </c:val>
        </c:ser>
        <c:ser>
          <c:idx val="2"/>
          <c:order val="1"/>
          <c:tx>
            <c:strRef>
              <c:f>Charts!$AK$283</c:f>
              <c:strCache>
                <c:ptCount val="1"/>
                <c:pt idx="0">
                  <c:v>Electric System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Charts!$AK$284:$AK$299</c:f>
              <c:numCache>
                <c:formatCode>#,##0</c:formatCode>
                <c:ptCount val="16"/>
                <c:pt idx="0">
                  <c:v>9.9414400000000001</c:v>
                </c:pt>
                <c:pt idx="1">
                  <c:v>14.10284</c:v>
                </c:pt>
                <c:pt idx="2">
                  <c:v>12.459070000000001</c:v>
                </c:pt>
                <c:pt idx="3">
                  <c:v>23.138960000000001</c:v>
                </c:pt>
                <c:pt idx="4">
                  <c:v>19.635619999999999</c:v>
                </c:pt>
                <c:pt idx="5">
                  <c:v>53.835350000000005</c:v>
                </c:pt>
                <c:pt idx="6">
                  <c:v>51.71199</c:v>
                </c:pt>
                <c:pt idx="7">
                  <c:v>52.166459999999994</c:v>
                </c:pt>
                <c:pt idx="8">
                  <c:v>52.904009999999992</c:v>
                </c:pt>
                <c:pt idx="9">
                  <c:v>55.142089999999996</c:v>
                </c:pt>
                <c:pt idx="10">
                  <c:v>53.308159999999994</c:v>
                </c:pt>
                <c:pt idx="11">
                  <c:v>53.308159999999994</c:v>
                </c:pt>
                <c:pt idx="12">
                  <c:v>55.878479999999996</c:v>
                </c:pt>
                <c:pt idx="13">
                  <c:v>60.070159999999987</c:v>
                </c:pt>
                <c:pt idx="14">
                  <c:v>60.070159999999987</c:v>
                </c:pt>
                <c:pt idx="15">
                  <c:v>60.978319999999989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192128"/>
        <c:axId val="154206208"/>
      </c:barChart>
      <c:lineChart>
        <c:grouping val="standard"/>
        <c:varyColors val="0"/>
        <c:ser>
          <c:idx val="3"/>
          <c:order val="2"/>
          <c:tx>
            <c:strRef>
              <c:f>Charts!$AL$283</c:f>
              <c:strCache>
                <c:ptCount val="1"/>
                <c:pt idx="0">
                  <c:v>Existing Pipeline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Charts!$AL$284:$AL$299</c:f>
              <c:numCache>
                <c:formatCode>#,##0</c:formatCode>
                <c:ptCount val="16"/>
                <c:pt idx="0">
                  <c:v>85.720249999999993</c:v>
                </c:pt>
                <c:pt idx="1">
                  <c:v>99.970249999999993</c:v>
                </c:pt>
                <c:pt idx="2">
                  <c:v>99.970249999999993</c:v>
                </c:pt>
                <c:pt idx="3">
                  <c:v>99.970249999999993</c:v>
                </c:pt>
                <c:pt idx="4">
                  <c:v>99.970249999999993</c:v>
                </c:pt>
                <c:pt idx="5">
                  <c:v>99.970249999999993</c:v>
                </c:pt>
                <c:pt idx="6">
                  <c:v>99.970249999999993</c:v>
                </c:pt>
                <c:pt idx="7">
                  <c:v>99.970249999999993</c:v>
                </c:pt>
                <c:pt idx="8">
                  <c:v>99.970249999999993</c:v>
                </c:pt>
                <c:pt idx="9">
                  <c:v>99.970249999999993</c:v>
                </c:pt>
                <c:pt idx="10">
                  <c:v>99.970249999999993</c:v>
                </c:pt>
                <c:pt idx="11">
                  <c:v>99.970249999999993</c:v>
                </c:pt>
                <c:pt idx="12">
                  <c:v>99.970249999999993</c:v>
                </c:pt>
                <c:pt idx="13">
                  <c:v>99.970249999999993</c:v>
                </c:pt>
                <c:pt idx="14">
                  <c:v>99.970249999999993</c:v>
                </c:pt>
                <c:pt idx="15">
                  <c:v>99.970249999999993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Charts!$AM$283</c:f>
              <c:strCache>
                <c:ptCount val="1"/>
                <c:pt idx="0">
                  <c:v>Available Pipeline and Vaporization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Charts!$AM$284:$AM$299</c:f>
              <c:numCache>
                <c:formatCode>#,##0</c:formatCode>
                <c:ptCount val="16"/>
                <c:pt idx="0">
                  <c:v>153.64758333333333</c:v>
                </c:pt>
                <c:pt idx="1">
                  <c:v>167.89758333333333</c:v>
                </c:pt>
                <c:pt idx="2">
                  <c:v>167.89758333333333</c:v>
                </c:pt>
                <c:pt idx="3">
                  <c:v>167.89758333333333</c:v>
                </c:pt>
                <c:pt idx="4">
                  <c:v>167.89758333333333</c:v>
                </c:pt>
                <c:pt idx="5">
                  <c:v>167.89758333333333</c:v>
                </c:pt>
                <c:pt idx="6">
                  <c:v>167.89758333333333</c:v>
                </c:pt>
                <c:pt idx="7">
                  <c:v>167.89758333333333</c:v>
                </c:pt>
                <c:pt idx="8">
                  <c:v>167.89758333333333</c:v>
                </c:pt>
                <c:pt idx="9">
                  <c:v>167.89758333333333</c:v>
                </c:pt>
                <c:pt idx="10">
                  <c:v>167.89758333333333</c:v>
                </c:pt>
                <c:pt idx="11">
                  <c:v>167.89758333333333</c:v>
                </c:pt>
                <c:pt idx="12">
                  <c:v>167.89758333333333</c:v>
                </c:pt>
                <c:pt idx="13">
                  <c:v>167.89758333333333</c:v>
                </c:pt>
                <c:pt idx="14">
                  <c:v>167.89758333333333</c:v>
                </c:pt>
                <c:pt idx="15">
                  <c:v>167.89758333333333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92128"/>
        <c:axId val="154206208"/>
      </c:lineChart>
      <c:lineChart>
        <c:grouping val="standard"/>
        <c:varyColors val="0"/>
        <c:ser>
          <c:idx val="0"/>
          <c:order val="4"/>
          <c:spPr>
            <a:ln>
              <a:noFill/>
            </a:ln>
          </c:spPr>
          <c:marker>
            <c:symbol val="none"/>
          </c:marker>
          <c:val>
            <c:numRef>
              <c:f>Charts!$BE$284:$BE$299</c:f>
              <c:numCache>
                <c:formatCode>0.0</c:formatCode>
                <c:ptCount val="16"/>
                <c:pt idx="0">
                  <c:v>2.0129999999999999</c:v>
                </c:pt>
                <c:pt idx="1">
                  <c:v>2.3476379647749512</c:v>
                </c:pt>
                <c:pt idx="2">
                  <c:v>2.3476379647749512</c:v>
                </c:pt>
                <c:pt idx="3">
                  <c:v>2.3476379647749512</c:v>
                </c:pt>
                <c:pt idx="4">
                  <c:v>2.3476379647749512</c:v>
                </c:pt>
                <c:pt idx="5">
                  <c:v>2.3476379647749512</c:v>
                </c:pt>
                <c:pt idx="6">
                  <c:v>2.3476379647749512</c:v>
                </c:pt>
                <c:pt idx="7">
                  <c:v>2.3476379647749512</c:v>
                </c:pt>
                <c:pt idx="8">
                  <c:v>2.3476379647749512</c:v>
                </c:pt>
                <c:pt idx="9">
                  <c:v>2.3476379647749512</c:v>
                </c:pt>
                <c:pt idx="10">
                  <c:v>2.3476379647749512</c:v>
                </c:pt>
                <c:pt idx="11">
                  <c:v>2.3476379647749512</c:v>
                </c:pt>
                <c:pt idx="12">
                  <c:v>2.3476379647749512</c:v>
                </c:pt>
                <c:pt idx="13">
                  <c:v>2.3476379647749512</c:v>
                </c:pt>
                <c:pt idx="14">
                  <c:v>2.3476379647749512</c:v>
                </c:pt>
                <c:pt idx="15">
                  <c:v>2.3476379647749512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14400"/>
        <c:axId val="154208128"/>
      </c:lineChart>
      <c:catAx>
        <c:axId val="15419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4206208"/>
        <c:crosses val="autoZero"/>
        <c:auto val="1"/>
        <c:lblAlgn val="ctr"/>
        <c:lblOffset val="100"/>
        <c:noMultiLvlLbl val="0"/>
      </c:catAx>
      <c:valAx>
        <c:axId val="154206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Base Case</a:t>
                </a:r>
              </a:p>
              <a:p>
                <a:pPr>
                  <a:defRPr sz="1200" b="0"/>
                </a:pPr>
                <a:r>
                  <a:rPr lang="en-US" sz="1200" b="0"/>
                  <a:t>(Billion Btu / Peak Hour)</a:t>
                </a:r>
              </a:p>
            </c:rich>
          </c:tx>
          <c:layout>
            <c:manualLayout>
              <c:xMode val="edge"/>
              <c:yMode val="edge"/>
              <c:x val="2.6035104581324357E-2"/>
              <c:y val="8.934546445907663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4192128"/>
        <c:crosses val="autoZero"/>
        <c:crossBetween val="between"/>
      </c:valAx>
      <c:valAx>
        <c:axId val="154208128"/>
        <c:scaling>
          <c:orientation val="minMax"/>
          <c:max val="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(Bcf / Day)</a:t>
                </a:r>
              </a:p>
            </c:rich>
          </c:tx>
          <c:layout>
            <c:manualLayout>
              <c:xMode val="edge"/>
              <c:yMode val="edge"/>
              <c:x val="0.93786414409364394"/>
              <c:y val="0.3000655459162752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54214400"/>
        <c:crosses val="max"/>
        <c:crossBetween val="between"/>
      </c:valAx>
      <c:catAx>
        <c:axId val="154214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42081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2959398305388"/>
          <c:y val="0.11041422189435213"/>
          <c:w val="0.71374076708395195"/>
          <c:h val="0.669889676008485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Charts!$AJ$283</c:f>
              <c:strCache>
                <c:ptCount val="1"/>
                <c:pt idx="0">
                  <c:v>Heating System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Charts!$AT$284:$AT$299</c:f>
              <c:numCache>
                <c:formatCode>#,##0</c:formatCode>
                <c:ptCount val="16"/>
                <c:pt idx="0">
                  <c:v>141.94137254070085</c:v>
                </c:pt>
                <c:pt idx="1">
                  <c:v>141.16312562477009</c:v>
                </c:pt>
                <c:pt idx="2">
                  <c:v>140.63143069831921</c:v>
                </c:pt>
                <c:pt idx="3">
                  <c:v>140.42244471264382</c:v>
                </c:pt>
                <c:pt idx="4">
                  <c:v>139.95415295799552</c:v>
                </c:pt>
                <c:pt idx="5">
                  <c:v>137.73814379032225</c:v>
                </c:pt>
                <c:pt idx="6">
                  <c:v>136.0388573923679</c:v>
                </c:pt>
                <c:pt idx="7">
                  <c:v>134.34445012214402</c:v>
                </c:pt>
                <c:pt idx="8">
                  <c:v>133.06690472791109</c:v>
                </c:pt>
                <c:pt idx="9">
                  <c:v>131.68437482019723</c:v>
                </c:pt>
                <c:pt idx="10">
                  <c:v>130.36714714613146</c:v>
                </c:pt>
                <c:pt idx="11">
                  <c:v>129.07975767634085</c:v>
                </c:pt>
                <c:pt idx="12">
                  <c:v>127.97099700590836</c:v>
                </c:pt>
                <c:pt idx="13">
                  <c:v>126.84372675145943</c:v>
                </c:pt>
                <c:pt idx="14">
                  <c:v>125.86018318945371</c:v>
                </c:pt>
                <c:pt idx="15">
                  <c:v>124.91967602030323</c:v>
                </c:pt>
              </c:numCache>
            </c:numRef>
          </c:val>
        </c:ser>
        <c:ser>
          <c:idx val="2"/>
          <c:order val="1"/>
          <c:tx>
            <c:strRef>
              <c:f>Charts!$AK$283</c:f>
              <c:strCache>
                <c:ptCount val="1"/>
                <c:pt idx="0">
                  <c:v>Electric System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Charts!$AU$284:$AU$299</c:f>
              <c:numCache>
                <c:formatCode>#,##0</c:formatCode>
                <c:ptCount val="16"/>
                <c:pt idx="0">
                  <c:v>9.9412400000000005</c:v>
                </c:pt>
                <c:pt idx="1">
                  <c:v>14.099813133333333</c:v>
                </c:pt>
                <c:pt idx="2">
                  <c:v>12.453016266666667</c:v>
                </c:pt>
                <c:pt idx="3">
                  <c:v>22.564089399999997</c:v>
                </c:pt>
                <c:pt idx="4">
                  <c:v>16.189932533333334</c:v>
                </c:pt>
                <c:pt idx="5">
                  <c:v>53.366185666666667</c:v>
                </c:pt>
                <c:pt idx="6">
                  <c:v>51.100963100000001</c:v>
                </c:pt>
                <c:pt idx="7">
                  <c:v>49.855810533333319</c:v>
                </c:pt>
                <c:pt idx="8">
                  <c:v>48.767347966666669</c:v>
                </c:pt>
                <c:pt idx="9">
                  <c:v>50.909455399999999</c:v>
                </c:pt>
                <c:pt idx="10">
                  <c:v>48.423562833333328</c:v>
                </c:pt>
                <c:pt idx="11">
                  <c:v>47.827670266666665</c:v>
                </c:pt>
                <c:pt idx="12">
                  <c:v>47.912097699999997</c:v>
                </c:pt>
                <c:pt idx="13">
                  <c:v>51.014955133333338</c:v>
                </c:pt>
                <c:pt idx="14">
                  <c:v>52.801992566666655</c:v>
                </c:pt>
                <c:pt idx="15">
                  <c:v>46.043170000000003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38976"/>
        <c:axId val="154240512"/>
      </c:barChart>
      <c:lineChart>
        <c:grouping val="standard"/>
        <c:varyColors val="0"/>
        <c:ser>
          <c:idx val="3"/>
          <c:order val="2"/>
          <c:tx>
            <c:strRef>
              <c:f>Charts!$AL$283</c:f>
              <c:strCache>
                <c:ptCount val="1"/>
                <c:pt idx="0">
                  <c:v>Existing Pipeline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Charts!$AV$284:$AV$299</c:f>
              <c:numCache>
                <c:formatCode>#,##0</c:formatCode>
                <c:ptCount val="16"/>
                <c:pt idx="0">
                  <c:v>85.720249999999993</c:v>
                </c:pt>
                <c:pt idx="1">
                  <c:v>99.970249999999993</c:v>
                </c:pt>
                <c:pt idx="2">
                  <c:v>99.970249999999993</c:v>
                </c:pt>
                <c:pt idx="3">
                  <c:v>99.970249999999993</c:v>
                </c:pt>
                <c:pt idx="4">
                  <c:v>99.970249999999993</c:v>
                </c:pt>
                <c:pt idx="5">
                  <c:v>99.970249999999993</c:v>
                </c:pt>
                <c:pt idx="6">
                  <c:v>99.970249999999993</c:v>
                </c:pt>
                <c:pt idx="7">
                  <c:v>99.970249999999993</c:v>
                </c:pt>
                <c:pt idx="8">
                  <c:v>99.970249999999993</c:v>
                </c:pt>
                <c:pt idx="9">
                  <c:v>99.970249999999993</c:v>
                </c:pt>
                <c:pt idx="10">
                  <c:v>99.970249999999993</c:v>
                </c:pt>
                <c:pt idx="11">
                  <c:v>99.970249999999993</c:v>
                </c:pt>
                <c:pt idx="12">
                  <c:v>99.970249999999993</c:v>
                </c:pt>
                <c:pt idx="13">
                  <c:v>99.970249999999993</c:v>
                </c:pt>
                <c:pt idx="14">
                  <c:v>99.970249999999993</c:v>
                </c:pt>
                <c:pt idx="15">
                  <c:v>99.970249999999993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Charts!$AM$283</c:f>
              <c:strCache>
                <c:ptCount val="1"/>
                <c:pt idx="0">
                  <c:v>Available Pipeline and Vaporization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Charts!$AW$284:$AW$299</c:f>
              <c:numCache>
                <c:formatCode>#,##0</c:formatCode>
                <c:ptCount val="16"/>
                <c:pt idx="0">
                  <c:v>153.64758333333333</c:v>
                </c:pt>
                <c:pt idx="1">
                  <c:v>167.89758333333333</c:v>
                </c:pt>
                <c:pt idx="2">
                  <c:v>167.89758333333333</c:v>
                </c:pt>
                <c:pt idx="3">
                  <c:v>167.89758333333333</c:v>
                </c:pt>
                <c:pt idx="4">
                  <c:v>167.89758333333333</c:v>
                </c:pt>
                <c:pt idx="5">
                  <c:v>167.89758333333333</c:v>
                </c:pt>
                <c:pt idx="6">
                  <c:v>167.89758333333333</c:v>
                </c:pt>
                <c:pt idx="7">
                  <c:v>167.89758333333333</c:v>
                </c:pt>
                <c:pt idx="8">
                  <c:v>167.89758333333333</c:v>
                </c:pt>
                <c:pt idx="9">
                  <c:v>167.89758333333333</c:v>
                </c:pt>
                <c:pt idx="10">
                  <c:v>167.89758333333333</c:v>
                </c:pt>
                <c:pt idx="11">
                  <c:v>167.89758333333333</c:v>
                </c:pt>
                <c:pt idx="12">
                  <c:v>167.89758333333333</c:v>
                </c:pt>
                <c:pt idx="13">
                  <c:v>167.89758333333333</c:v>
                </c:pt>
                <c:pt idx="14">
                  <c:v>167.89758333333333</c:v>
                </c:pt>
                <c:pt idx="15">
                  <c:v>167.89758333333333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38976"/>
        <c:axId val="154240512"/>
      </c:lineChart>
      <c:lineChart>
        <c:grouping val="standard"/>
        <c:varyColors val="0"/>
        <c:ser>
          <c:idx val="0"/>
          <c:order val="4"/>
          <c:spPr>
            <a:ln>
              <a:noFill/>
            </a:ln>
          </c:spPr>
          <c:marker>
            <c:symbol val="none"/>
          </c:marker>
          <c:val>
            <c:numRef>
              <c:f>Charts!$BE$284:$BE$299</c:f>
              <c:numCache>
                <c:formatCode>0.0</c:formatCode>
                <c:ptCount val="16"/>
                <c:pt idx="0">
                  <c:v>2.0129999999999999</c:v>
                </c:pt>
                <c:pt idx="1">
                  <c:v>2.3476379647749512</c:v>
                </c:pt>
                <c:pt idx="2">
                  <c:v>2.3476379647749512</c:v>
                </c:pt>
                <c:pt idx="3">
                  <c:v>2.3476379647749512</c:v>
                </c:pt>
                <c:pt idx="4">
                  <c:v>2.3476379647749512</c:v>
                </c:pt>
                <c:pt idx="5">
                  <c:v>2.3476379647749512</c:v>
                </c:pt>
                <c:pt idx="6">
                  <c:v>2.3476379647749512</c:v>
                </c:pt>
                <c:pt idx="7">
                  <c:v>2.3476379647749512</c:v>
                </c:pt>
                <c:pt idx="8">
                  <c:v>2.3476379647749512</c:v>
                </c:pt>
                <c:pt idx="9">
                  <c:v>2.3476379647749512</c:v>
                </c:pt>
                <c:pt idx="10">
                  <c:v>2.3476379647749512</c:v>
                </c:pt>
                <c:pt idx="11">
                  <c:v>2.3476379647749512</c:v>
                </c:pt>
                <c:pt idx="12">
                  <c:v>2.3476379647749512</c:v>
                </c:pt>
                <c:pt idx="13">
                  <c:v>2.3476379647749512</c:v>
                </c:pt>
                <c:pt idx="14">
                  <c:v>2.3476379647749512</c:v>
                </c:pt>
                <c:pt idx="15">
                  <c:v>2.3476379647749512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48704"/>
        <c:axId val="154242432"/>
      </c:lineChart>
      <c:catAx>
        <c:axId val="15423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4240512"/>
        <c:crosses val="autoZero"/>
        <c:auto val="1"/>
        <c:lblAlgn val="ctr"/>
        <c:lblOffset val="100"/>
        <c:noMultiLvlLbl val="0"/>
      </c:catAx>
      <c:valAx>
        <c:axId val="15424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Low Demand Case</a:t>
                </a:r>
              </a:p>
              <a:p>
                <a:pPr>
                  <a:defRPr sz="1200" b="0"/>
                </a:pPr>
                <a:r>
                  <a:rPr lang="en-US" sz="1200" b="0"/>
                  <a:t>(Billion Btu / Peak Hour)</a:t>
                </a:r>
              </a:p>
            </c:rich>
          </c:tx>
          <c:layout>
            <c:manualLayout>
              <c:xMode val="edge"/>
              <c:yMode val="edge"/>
              <c:x val="2.6035104581324357E-2"/>
              <c:y val="8.934546445907663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4238976"/>
        <c:crosses val="autoZero"/>
        <c:crossBetween val="between"/>
      </c:valAx>
      <c:valAx>
        <c:axId val="154242432"/>
        <c:scaling>
          <c:orientation val="minMax"/>
          <c:max val="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(Bcf / Day)</a:t>
                </a:r>
              </a:p>
            </c:rich>
          </c:tx>
          <c:layout>
            <c:manualLayout>
              <c:xMode val="edge"/>
              <c:yMode val="edge"/>
              <c:x val="0.93786414409364394"/>
              <c:y val="0.3000655459162752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4248704"/>
        <c:crosses val="max"/>
        <c:crossBetween val="between"/>
      </c:valAx>
      <c:catAx>
        <c:axId val="154248704"/>
        <c:scaling>
          <c:orientation val="minMax"/>
        </c:scaling>
        <c:delete val="1"/>
        <c:axPos val="b"/>
        <c:majorTickMark val="out"/>
        <c:minorTickMark val="none"/>
        <c:tickLblPos val="nextTo"/>
        <c:crossAx val="15424243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2959398305388"/>
          <c:y val="0.11041422189435213"/>
          <c:w val="0.71374076708395195"/>
          <c:h val="0.669889676008485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Charts!$AJ$283</c:f>
              <c:strCache>
                <c:ptCount val="1"/>
                <c:pt idx="0">
                  <c:v>Heating System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Charts!$AY$284:$AY$299</c:f>
              <c:numCache>
                <c:formatCode>#,##0</c:formatCode>
                <c:ptCount val="16"/>
                <c:pt idx="0">
                  <c:v>141.94137254070085</c:v>
                </c:pt>
                <c:pt idx="1">
                  <c:v>141.16312562477009</c:v>
                </c:pt>
                <c:pt idx="2">
                  <c:v>140.63143069831921</c:v>
                </c:pt>
                <c:pt idx="3">
                  <c:v>140.42244471264382</c:v>
                </c:pt>
                <c:pt idx="4">
                  <c:v>139.95415295799552</c:v>
                </c:pt>
                <c:pt idx="5">
                  <c:v>137.73814379032225</c:v>
                </c:pt>
                <c:pt idx="6">
                  <c:v>136.0388573923679</c:v>
                </c:pt>
                <c:pt idx="7">
                  <c:v>134.34445012214402</c:v>
                </c:pt>
                <c:pt idx="8">
                  <c:v>133.06690472791109</c:v>
                </c:pt>
                <c:pt idx="9">
                  <c:v>131.68437482019723</c:v>
                </c:pt>
                <c:pt idx="10">
                  <c:v>130.36714714613146</c:v>
                </c:pt>
                <c:pt idx="11">
                  <c:v>129.07975767634085</c:v>
                </c:pt>
                <c:pt idx="12">
                  <c:v>127.97099700590836</c:v>
                </c:pt>
                <c:pt idx="13">
                  <c:v>126.84372675145943</c:v>
                </c:pt>
                <c:pt idx="14">
                  <c:v>125.86018318945371</c:v>
                </c:pt>
                <c:pt idx="15">
                  <c:v>124.91967602030323</c:v>
                </c:pt>
              </c:numCache>
            </c:numRef>
          </c:val>
        </c:ser>
        <c:ser>
          <c:idx val="2"/>
          <c:order val="1"/>
          <c:tx>
            <c:strRef>
              <c:f>Charts!$AK$283</c:f>
              <c:strCache>
                <c:ptCount val="1"/>
                <c:pt idx="0">
                  <c:v>Electric System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Charts!$AZ$284:$AZ$299</c:f>
              <c:numCache>
                <c:formatCode>#,##0</c:formatCode>
                <c:ptCount val="16"/>
                <c:pt idx="0">
                  <c:v>9.9412400000000005</c:v>
                </c:pt>
                <c:pt idx="1">
                  <c:v>14.079893</c:v>
                </c:pt>
                <c:pt idx="2">
                  <c:v>12.413176</c:v>
                </c:pt>
                <c:pt idx="3">
                  <c:v>19.111969000000002</c:v>
                </c:pt>
                <c:pt idx="4">
                  <c:v>16.110251999999999</c:v>
                </c:pt>
                <c:pt idx="5">
                  <c:v>49.82453499999999</c:v>
                </c:pt>
                <c:pt idx="6">
                  <c:v>51.386969166666667</c:v>
                </c:pt>
                <c:pt idx="7">
                  <c:v>42.807323333333322</c:v>
                </c:pt>
                <c:pt idx="8">
                  <c:v>42.104467500000005</c:v>
                </c:pt>
                <c:pt idx="9">
                  <c:v>43.984651666666657</c:v>
                </c:pt>
                <c:pt idx="10">
                  <c:v>43.774365833333327</c:v>
                </c:pt>
                <c:pt idx="11">
                  <c:v>43.564079999999997</c:v>
                </c:pt>
                <c:pt idx="12">
                  <c:v>44.681644166666665</c:v>
                </c:pt>
                <c:pt idx="13">
                  <c:v>48.663038333333333</c:v>
                </c:pt>
                <c:pt idx="14">
                  <c:v>47.805222499999992</c:v>
                </c:pt>
                <c:pt idx="15">
                  <c:v>46.473246666666661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665536"/>
        <c:axId val="155667072"/>
      </c:barChart>
      <c:lineChart>
        <c:grouping val="standard"/>
        <c:varyColors val="0"/>
        <c:ser>
          <c:idx val="3"/>
          <c:order val="2"/>
          <c:tx>
            <c:strRef>
              <c:f>Charts!$AL$283</c:f>
              <c:strCache>
                <c:ptCount val="1"/>
                <c:pt idx="0">
                  <c:v>Existing Pipeline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Charts!$BA$284:$BA$299</c:f>
              <c:numCache>
                <c:formatCode>#,##0</c:formatCode>
                <c:ptCount val="16"/>
                <c:pt idx="0">
                  <c:v>85.720249999999993</c:v>
                </c:pt>
                <c:pt idx="1">
                  <c:v>99.970249999999993</c:v>
                </c:pt>
                <c:pt idx="2">
                  <c:v>99.970249999999993</c:v>
                </c:pt>
                <c:pt idx="3">
                  <c:v>99.970249999999993</c:v>
                </c:pt>
                <c:pt idx="4">
                  <c:v>99.970249999999993</c:v>
                </c:pt>
                <c:pt idx="5">
                  <c:v>99.970249999999993</c:v>
                </c:pt>
                <c:pt idx="6">
                  <c:v>99.970249999999993</c:v>
                </c:pt>
                <c:pt idx="7">
                  <c:v>99.970249999999993</c:v>
                </c:pt>
                <c:pt idx="8">
                  <c:v>99.970249999999993</c:v>
                </c:pt>
                <c:pt idx="9">
                  <c:v>99.970249999999993</c:v>
                </c:pt>
                <c:pt idx="10">
                  <c:v>99.970249999999993</c:v>
                </c:pt>
                <c:pt idx="11">
                  <c:v>99.970249999999993</c:v>
                </c:pt>
                <c:pt idx="12">
                  <c:v>99.970249999999993</c:v>
                </c:pt>
                <c:pt idx="13">
                  <c:v>99.970249999999993</c:v>
                </c:pt>
                <c:pt idx="14">
                  <c:v>99.970249999999993</c:v>
                </c:pt>
                <c:pt idx="15">
                  <c:v>99.970249999999993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Charts!$AM$283</c:f>
              <c:strCache>
                <c:ptCount val="1"/>
                <c:pt idx="0">
                  <c:v>Available Pipeline and Vaporization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Charts!$BB$284:$BB$299</c:f>
              <c:numCache>
                <c:formatCode>#,##0</c:formatCode>
                <c:ptCount val="16"/>
                <c:pt idx="0">
                  <c:v>153.64758333333333</c:v>
                </c:pt>
                <c:pt idx="1">
                  <c:v>167.89758333333333</c:v>
                </c:pt>
                <c:pt idx="2">
                  <c:v>167.89758333333333</c:v>
                </c:pt>
                <c:pt idx="3">
                  <c:v>167.89758333333333</c:v>
                </c:pt>
                <c:pt idx="4">
                  <c:v>167.89758333333333</c:v>
                </c:pt>
                <c:pt idx="5">
                  <c:v>167.89758333333333</c:v>
                </c:pt>
                <c:pt idx="6">
                  <c:v>167.89758333333333</c:v>
                </c:pt>
                <c:pt idx="7">
                  <c:v>167.89758333333333</c:v>
                </c:pt>
                <c:pt idx="8">
                  <c:v>167.89758333333333</c:v>
                </c:pt>
                <c:pt idx="9">
                  <c:v>167.89758333333333</c:v>
                </c:pt>
                <c:pt idx="10">
                  <c:v>167.89758333333333</c:v>
                </c:pt>
                <c:pt idx="11">
                  <c:v>167.89758333333333</c:v>
                </c:pt>
                <c:pt idx="12">
                  <c:v>167.89758333333333</c:v>
                </c:pt>
                <c:pt idx="13">
                  <c:v>167.89758333333333</c:v>
                </c:pt>
                <c:pt idx="14">
                  <c:v>167.89758333333333</c:v>
                </c:pt>
                <c:pt idx="15">
                  <c:v>167.89758333333333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65536"/>
        <c:axId val="155667072"/>
      </c:lineChart>
      <c:lineChart>
        <c:grouping val="standard"/>
        <c:varyColors val="0"/>
        <c:ser>
          <c:idx val="0"/>
          <c:order val="4"/>
          <c:spPr>
            <a:ln>
              <a:noFill/>
            </a:ln>
          </c:spPr>
          <c:marker>
            <c:symbol val="none"/>
          </c:marker>
          <c:val>
            <c:numRef>
              <c:f>Charts!$BE$284:$BE$299</c:f>
              <c:numCache>
                <c:formatCode>0.0</c:formatCode>
                <c:ptCount val="16"/>
                <c:pt idx="0">
                  <c:v>2.0129999999999999</c:v>
                </c:pt>
                <c:pt idx="1">
                  <c:v>2.3476379647749512</c:v>
                </c:pt>
                <c:pt idx="2">
                  <c:v>2.3476379647749512</c:v>
                </c:pt>
                <c:pt idx="3">
                  <c:v>2.3476379647749512</c:v>
                </c:pt>
                <c:pt idx="4">
                  <c:v>2.3476379647749512</c:v>
                </c:pt>
                <c:pt idx="5">
                  <c:v>2.3476379647749512</c:v>
                </c:pt>
                <c:pt idx="6">
                  <c:v>2.3476379647749512</c:v>
                </c:pt>
                <c:pt idx="7">
                  <c:v>2.3476379647749512</c:v>
                </c:pt>
                <c:pt idx="8">
                  <c:v>2.3476379647749512</c:v>
                </c:pt>
                <c:pt idx="9">
                  <c:v>2.3476379647749512</c:v>
                </c:pt>
                <c:pt idx="10">
                  <c:v>2.3476379647749512</c:v>
                </c:pt>
                <c:pt idx="11">
                  <c:v>2.3476379647749512</c:v>
                </c:pt>
                <c:pt idx="12">
                  <c:v>2.3476379647749512</c:v>
                </c:pt>
                <c:pt idx="13">
                  <c:v>2.3476379647749512</c:v>
                </c:pt>
                <c:pt idx="14">
                  <c:v>2.3476379647749512</c:v>
                </c:pt>
                <c:pt idx="15">
                  <c:v>2.3476379647749512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79360"/>
        <c:axId val="155677440"/>
      </c:lineChart>
      <c:catAx>
        <c:axId val="15566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5667072"/>
        <c:crosses val="autoZero"/>
        <c:auto val="1"/>
        <c:lblAlgn val="ctr"/>
        <c:lblOffset val="100"/>
        <c:noMultiLvlLbl val="0"/>
      </c:catAx>
      <c:valAx>
        <c:axId val="155667072"/>
        <c:scaling>
          <c:orientation val="minMax"/>
          <c:max val="2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Low Demand</a:t>
                </a:r>
                <a:r>
                  <a:rPr lang="en-US" sz="1200" b="0" baseline="0"/>
                  <a:t> + Inc. Canadian Hydro Trans.</a:t>
                </a:r>
                <a:endParaRPr lang="en-US" sz="1200" b="0"/>
              </a:p>
              <a:p>
                <a:pPr>
                  <a:defRPr sz="1200" b="0"/>
                </a:pPr>
                <a:r>
                  <a:rPr lang="en-US" sz="1200" b="0"/>
                  <a:t>(Billion Btu / Peak Hour)</a:t>
                </a:r>
              </a:p>
            </c:rich>
          </c:tx>
          <c:layout>
            <c:manualLayout>
              <c:xMode val="edge"/>
              <c:yMode val="edge"/>
              <c:x val="7.14621422348317E-3"/>
              <c:y val="8.934546445907663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665536"/>
        <c:crosses val="autoZero"/>
        <c:crossBetween val="between"/>
      </c:valAx>
      <c:valAx>
        <c:axId val="155677440"/>
        <c:scaling>
          <c:orientation val="minMax"/>
          <c:max val="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(Bcf / Day)</a:t>
                </a:r>
              </a:p>
            </c:rich>
          </c:tx>
          <c:layout>
            <c:manualLayout>
              <c:xMode val="edge"/>
              <c:yMode val="edge"/>
              <c:x val="0.93786414409364394"/>
              <c:y val="0.3000655459162752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5679360"/>
        <c:crosses val="max"/>
        <c:crossBetween val="between"/>
      </c:valAx>
      <c:catAx>
        <c:axId val="155679360"/>
        <c:scaling>
          <c:orientation val="minMax"/>
        </c:scaling>
        <c:delete val="1"/>
        <c:axPos val="b"/>
        <c:majorTickMark val="out"/>
        <c:minorTickMark val="none"/>
        <c:tickLblPos val="nextTo"/>
        <c:crossAx val="1556774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79979012340578493"/>
          <c:h val="0.7842650878189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Charts!$AI$123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strRef>
                  <c:f>Charts!$AJ$126</c:f>
                  <c:strCache>
                    <c:ptCount val="1"/>
                    <c:pt idx="0">
                      <c:v>55%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Charts!$AK$126</c:f>
                  <c:strCache>
                    <c:ptCount val="1"/>
                    <c:pt idx="0">
                      <c:v>54%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Charts!$AL$126</c:f>
                  <c:strCache>
                    <c:ptCount val="1"/>
                    <c:pt idx="0">
                      <c:v>54%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Charts!$AM$126</c:f>
                  <c:strCache>
                    <c:ptCount val="1"/>
                    <c:pt idx="0">
                      <c:v>34%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Charts!$AN$126</c:f>
                  <c:strCache>
                    <c:ptCount val="1"/>
                    <c:pt idx="0">
                      <c:v>2%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Charts!$AO$126</c:f>
                  <c:strCache>
                    <c:ptCount val="1"/>
                    <c:pt idx="0">
                      <c:v>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Charts!$AP$126</c:f>
                  <c:strCache>
                    <c:ptCount val="1"/>
                    <c:pt idx="0">
                      <c:v>-43%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2.42857147410146E-2"/>
                </c:manualLayout>
              </c:layout>
              <c:tx>
                <c:strRef>
                  <c:f>Charts!$AQ$126</c:f>
                  <c:strCache>
                    <c:ptCount val="1"/>
                    <c:pt idx="0">
                      <c:v>-16%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Gill Sans MT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Charts!$AJ$3:$AQ$3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Charts!$AJ$123:$AQ$123</c:f>
              <c:numCache>
                <c:formatCode>0</c:formatCode>
                <c:ptCount val="8"/>
                <c:pt idx="0">
                  <c:v>28.946403150433689</c:v>
                </c:pt>
                <c:pt idx="1">
                  <c:v>28.821226538115837</c:v>
                </c:pt>
                <c:pt idx="2">
                  <c:v>28.815728606485674</c:v>
                </c:pt>
                <c:pt idx="3">
                  <c:v>24.974301648493562</c:v>
                </c:pt>
                <c:pt idx="4">
                  <c:v>19.033150813173375</c:v>
                </c:pt>
                <c:pt idx="5">
                  <c:v>19.163417467271408</c:v>
                </c:pt>
                <c:pt idx="6">
                  <c:v>10.655048789971854</c:v>
                </c:pt>
                <c:pt idx="7">
                  <c:v>15.623256431578771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25376"/>
        <c:axId val="214727296"/>
      </c:barChart>
      <c:lineChart>
        <c:grouping val="standard"/>
        <c:varyColors val="0"/>
        <c:ser>
          <c:idx val="1"/>
          <c:order val="1"/>
          <c:tx>
            <c:strRef>
              <c:f>Charts!$AI$121</c:f>
              <c:strCache>
                <c:ptCount val="1"/>
                <c:pt idx="0">
                  <c:v>2030 GWSA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Charts!$AJ$121:$AQ$121</c:f>
              <c:numCache>
                <c:formatCode>#,##0</c:formatCode>
                <c:ptCount val="8"/>
                <c:pt idx="0">
                  <c:v>18.676721162166132</c:v>
                </c:pt>
                <c:pt idx="1">
                  <c:v>18.676721162166132</c:v>
                </c:pt>
                <c:pt idx="2">
                  <c:v>18.676721162166132</c:v>
                </c:pt>
                <c:pt idx="3">
                  <c:v>18.676721162166132</c:v>
                </c:pt>
                <c:pt idx="4">
                  <c:v>18.676721162166132</c:v>
                </c:pt>
                <c:pt idx="5">
                  <c:v>18.676721162166132</c:v>
                </c:pt>
                <c:pt idx="6">
                  <c:v>18.676721162166132</c:v>
                </c:pt>
                <c:pt idx="7">
                  <c:v>18.676721162166132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Charts!$AI$119</c:f>
              <c:strCache>
                <c:ptCount val="1"/>
                <c:pt idx="0">
                  <c:v>2030 BAU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Charts!$AJ$119:$AQ$119</c:f>
              <c:numCache>
                <c:formatCode>#,##0</c:formatCode>
                <c:ptCount val="8"/>
                <c:pt idx="0" formatCode="0">
                  <c:v>38.247696456769603</c:v>
                </c:pt>
                <c:pt idx="1">
                  <c:v>38.247696456769603</c:v>
                </c:pt>
                <c:pt idx="2">
                  <c:v>38.247696456769603</c:v>
                </c:pt>
                <c:pt idx="3">
                  <c:v>38.247696456769603</c:v>
                </c:pt>
                <c:pt idx="4">
                  <c:v>38.247696456769603</c:v>
                </c:pt>
                <c:pt idx="5">
                  <c:v>38.247696456769603</c:v>
                </c:pt>
                <c:pt idx="6">
                  <c:v>38.247696456769603</c:v>
                </c:pt>
                <c:pt idx="7">
                  <c:v>38.247696456769603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25376"/>
        <c:axId val="214727296"/>
      </c:lineChart>
      <c:catAx>
        <c:axId val="21472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14727296"/>
        <c:crosses val="autoZero"/>
        <c:auto val="1"/>
        <c:lblAlgn val="ctr"/>
        <c:lblOffset val="100"/>
        <c:noMultiLvlLbl val="0"/>
      </c:catAx>
      <c:valAx>
        <c:axId val="214727296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Annual CO</a:t>
                </a:r>
                <a:r>
                  <a:rPr lang="en-US" sz="1200" b="0" baseline="-25000"/>
                  <a:t>2</a:t>
                </a:r>
                <a:r>
                  <a:rPr lang="en-US" sz="1200" b="0"/>
                  <a:t> Emissions
(Million Metric Tons)</a:t>
                </a:r>
              </a:p>
            </c:rich>
          </c:tx>
          <c:layout>
            <c:manualLayout>
              <c:xMode val="edge"/>
              <c:yMode val="edge"/>
              <c:x val="3.0232640768115292E-2"/>
              <c:y val="0.2236338249650135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214725376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79979012340578493"/>
          <c:h val="0.7842650878189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Charts!$AJ$3:$AQ$3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Charts!$AJ$5:$AQ$5</c:f>
              <c:numCache>
                <c:formatCode>#,##0</c:formatCode>
                <c:ptCount val="8"/>
                <c:pt idx="0">
                  <c:v>488.53867264280228</c:v>
                </c:pt>
                <c:pt idx="1">
                  <c:v>523.35853264280229</c:v>
                </c:pt>
                <c:pt idx="2">
                  <c:v>484.01999264280232</c:v>
                </c:pt>
                <c:pt idx="3">
                  <c:v>465.01501264280228</c:v>
                </c:pt>
                <c:pt idx="4">
                  <c:v>463.94886298110816</c:v>
                </c:pt>
                <c:pt idx="5">
                  <c:v>469.53177264777486</c:v>
                </c:pt>
                <c:pt idx="6">
                  <c:v>456.74198384777486</c:v>
                </c:pt>
                <c:pt idx="7">
                  <c:v>439.05675964777481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332992"/>
        <c:axId val="277919232"/>
      </c:barChart>
      <c:catAx>
        <c:axId val="26733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277919232"/>
        <c:crosses val="autoZero"/>
        <c:auto val="1"/>
        <c:lblAlgn val="ctr"/>
        <c:lblOffset val="100"/>
        <c:noMultiLvlLbl val="0"/>
      </c:catAx>
      <c:valAx>
        <c:axId val="277919232"/>
        <c:scaling>
          <c:orientation val="minMax"/>
          <c:max val="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Annual NG Consumption </a:t>
                </a:r>
                <a:br>
                  <a:rPr lang="en-US" sz="1200" b="0"/>
                </a:br>
                <a:r>
                  <a:rPr lang="en-US" sz="1200" b="0"/>
                  <a:t>(Trillion Btu)</a:t>
                </a:r>
              </a:p>
            </c:rich>
          </c:tx>
          <c:layout>
            <c:manualLayout>
              <c:xMode val="edge"/>
              <c:yMode val="edge"/>
              <c:x val="3.2331406710267012E-2"/>
              <c:y val="0.2244356997457011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6733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79979012340578493"/>
          <c:h val="0.7842650878189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Charts!$AI$6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Charts!$AJ$3:$AQ$3</c:f>
              <c:strCache>
                <c:ptCount val="8"/>
                <c:pt idx="0">
                  <c:v>Scen 1</c:v>
                </c:pt>
                <c:pt idx="1">
                  <c:v>Scen 2</c:v>
                </c:pt>
                <c:pt idx="2">
                  <c:v>Scen 3</c:v>
                </c:pt>
                <c:pt idx="3">
                  <c:v>Scen 4</c:v>
                </c:pt>
                <c:pt idx="4">
                  <c:v>Scen 5</c:v>
                </c:pt>
                <c:pt idx="5">
                  <c:v>Scen 6</c:v>
                </c:pt>
                <c:pt idx="6">
                  <c:v>Scen 7</c:v>
                </c:pt>
                <c:pt idx="7">
                  <c:v>Scen 8</c:v>
                </c:pt>
              </c:strCache>
            </c:strRef>
          </c:cat>
          <c:val>
            <c:numRef>
              <c:f>Charts!$AJ$6:$AQ$6</c:f>
              <c:numCache>
                <c:formatCode>#,##0</c:formatCode>
                <c:ptCount val="8"/>
                <c:pt idx="0">
                  <c:v>486.86367488521319</c:v>
                </c:pt>
                <c:pt idx="1">
                  <c:v>520.40307488521319</c:v>
                </c:pt>
                <c:pt idx="2">
                  <c:v>469.60344488521321</c:v>
                </c:pt>
                <c:pt idx="3">
                  <c:v>453.74363488521317</c:v>
                </c:pt>
                <c:pt idx="4">
                  <c:v>400.58521083048424</c:v>
                </c:pt>
                <c:pt idx="5">
                  <c:v>393.50109893993704</c:v>
                </c:pt>
                <c:pt idx="6">
                  <c:v>359.27725731619853</c:v>
                </c:pt>
                <c:pt idx="7">
                  <c:v>382.88530416381764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83680"/>
        <c:axId val="124185216"/>
      </c:barChart>
      <c:catAx>
        <c:axId val="124183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185216"/>
        <c:crosses val="autoZero"/>
        <c:auto val="1"/>
        <c:lblAlgn val="ctr"/>
        <c:lblOffset val="100"/>
        <c:noMultiLvlLbl val="0"/>
      </c:catAx>
      <c:valAx>
        <c:axId val="124185216"/>
        <c:scaling>
          <c:orientation val="minMax"/>
          <c:max val="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Annual NG Consumption </a:t>
                </a:r>
                <a:br>
                  <a:rPr lang="en-US" sz="1200" b="0"/>
                </a:br>
                <a:r>
                  <a:rPr lang="en-US" sz="1200" b="0"/>
                  <a:t>(Trillion Btu)</a:t>
                </a:r>
              </a:p>
            </c:rich>
          </c:tx>
          <c:layout>
            <c:manualLayout>
              <c:xMode val="edge"/>
              <c:yMode val="edge"/>
              <c:x val="3.2331406710267012E-2"/>
              <c:y val="0.2244356997457011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24183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6990493581825018"/>
          <c:h val="0.78426508781899307"/>
        </c:manualLayout>
      </c:layout>
      <c:lineChart>
        <c:grouping val="standard"/>
        <c:varyColors val="0"/>
        <c:ser>
          <c:idx val="0"/>
          <c:order val="0"/>
          <c:tx>
            <c:strRef>
              <c:f>Charts!$AJ$15</c:f>
              <c:strCache>
                <c:ptCount val="1"/>
                <c:pt idx="0">
                  <c:v>Scen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0"/>
                  <c:y val="4.0476191235024207E-3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Scenario 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Charts!$AJ$16:$AJ$31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Charts!$AK$15</c:f>
              <c:strCache>
                <c:ptCount val="1"/>
                <c:pt idx="0">
                  <c:v>Scen 2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0"/>
                  <c:y val="2.0238095617512112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/>
                        </a:solidFill>
                      </a:defRPr>
                    </a:pPr>
                    <a:r>
                      <a:rPr lang="en-US"/>
                      <a:t>Scenario 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Charts!$AK$16:$AK$31</c:f>
              <c:numCache>
                <c:formatCode>"$"#,##0</c:formatCode>
                <c:ptCount val="16"/>
                <c:pt idx="0">
                  <c:v>-411.28127599780237</c:v>
                </c:pt>
                <c:pt idx="1">
                  <c:v>-464.49492836188438</c:v>
                </c:pt>
                <c:pt idx="2">
                  <c:v>-72.057926208210574</c:v>
                </c:pt>
                <c:pt idx="3">
                  <c:v>-114.58207474728806</c:v>
                </c:pt>
                <c:pt idx="4">
                  <c:v>-111.35088590276337</c:v>
                </c:pt>
                <c:pt idx="5">
                  <c:v>-499.10370135264066</c:v>
                </c:pt>
                <c:pt idx="6">
                  <c:v>-578.27943196700289</c:v>
                </c:pt>
                <c:pt idx="7">
                  <c:v>-645.02849868053477</c:v>
                </c:pt>
                <c:pt idx="8">
                  <c:v>-692.32405743142976</c:v>
                </c:pt>
                <c:pt idx="9">
                  <c:v>-721.98690161327477</c:v>
                </c:pt>
                <c:pt idx="10">
                  <c:v>-743.36350392478153</c:v>
                </c:pt>
                <c:pt idx="11">
                  <c:v>-791.46030917354233</c:v>
                </c:pt>
                <c:pt idx="12">
                  <c:v>-831.77817896637066</c:v>
                </c:pt>
                <c:pt idx="13">
                  <c:v>-924.7076730945264</c:v>
                </c:pt>
                <c:pt idx="14">
                  <c:v>-1055.4950986584486</c:v>
                </c:pt>
                <c:pt idx="15">
                  <c:v>-1127.007342103389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Charts!$AL$15</c:f>
              <c:strCache>
                <c:ptCount val="1"/>
                <c:pt idx="0">
                  <c:v>Scen 3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dLbls>
            <c:dLbl>
              <c:idx val="15"/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/>
                      <a:t>Scenario 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Charts!$AL$16:$AL$31</c:f>
              <c:numCache>
                <c:formatCode>"$"#,##0</c:formatCode>
                <c:ptCount val="16"/>
                <c:pt idx="0">
                  <c:v>-5.7377429551706882E-2</c:v>
                </c:pt>
                <c:pt idx="1">
                  <c:v>25.655447896885562</c:v>
                </c:pt>
                <c:pt idx="2">
                  <c:v>146.93501994224198</c:v>
                </c:pt>
                <c:pt idx="3">
                  <c:v>101.86557936306053</c:v>
                </c:pt>
                <c:pt idx="4">
                  <c:v>182.55471254302211</c:v>
                </c:pt>
                <c:pt idx="5">
                  <c:v>288.57865250030363</c:v>
                </c:pt>
                <c:pt idx="6">
                  <c:v>259.09560472341718</c:v>
                </c:pt>
                <c:pt idx="7">
                  <c:v>320.56885884587382</c:v>
                </c:pt>
                <c:pt idx="8">
                  <c:v>383.21641571232931</c:v>
                </c:pt>
                <c:pt idx="9">
                  <c:v>428.07585733325868</c:v>
                </c:pt>
                <c:pt idx="10">
                  <c:v>548.16757924957119</c:v>
                </c:pt>
                <c:pt idx="11">
                  <c:v>623.66426930826492</c:v>
                </c:pt>
                <c:pt idx="12">
                  <c:v>674.67778706846229</c:v>
                </c:pt>
                <c:pt idx="13">
                  <c:v>737.61886113540777</c:v>
                </c:pt>
                <c:pt idx="14">
                  <c:v>750.04536674921337</c:v>
                </c:pt>
                <c:pt idx="15">
                  <c:v>724.21153179224484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Charts!$AM$15</c:f>
              <c:strCache>
                <c:ptCount val="1"/>
                <c:pt idx="0">
                  <c:v>Scen 4</c:v>
                </c:pt>
              </c:strCache>
            </c:strRef>
          </c:tx>
          <c:marker>
            <c:symbol val="none"/>
          </c:marker>
          <c:dLbls>
            <c:dLbl>
              <c:idx val="15"/>
              <c:layout>
                <c:manualLayout>
                  <c:x val="0"/>
                  <c:y val="-2.0238095617512105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Scenario 4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Charts!$AM$16:$AM$31</c:f>
              <c:numCache>
                <c:formatCode>"$"#,##0</c:formatCode>
                <c:ptCount val="16"/>
                <c:pt idx="0">
                  <c:v>-3.637978807091713E-12</c:v>
                </c:pt>
                <c:pt idx="1">
                  <c:v>-5.0022208597511053E-12</c:v>
                </c:pt>
                <c:pt idx="2">
                  <c:v>59.305208492921793</c:v>
                </c:pt>
                <c:pt idx="3">
                  <c:v>48.655089521142202</c:v>
                </c:pt>
                <c:pt idx="4">
                  <c:v>48.832277806222976</c:v>
                </c:pt>
                <c:pt idx="5">
                  <c:v>28.968761360568408</c:v>
                </c:pt>
                <c:pt idx="6">
                  <c:v>15.759541778013784</c:v>
                </c:pt>
                <c:pt idx="7">
                  <c:v>113.78860360374853</c:v>
                </c:pt>
                <c:pt idx="8">
                  <c:v>106.91150899115297</c:v>
                </c:pt>
                <c:pt idx="9">
                  <c:v>99.154939638227972</c:v>
                </c:pt>
                <c:pt idx="10">
                  <c:v>91.862472687261345</c:v>
                </c:pt>
                <c:pt idx="11">
                  <c:v>83.682373917256484</c:v>
                </c:pt>
                <c:pt idx="12">
                  <c:v>78.238094551876259</c:v>
                </c:pt>
                <c:pt idx="13">
                  <c:v>63.954135778290095</c:v>
                </c:pt>
                <c:pt idx="14">
                  <c:v>59.773090468466819</c:v>
                </c:pt>
                <c:pt idx="15">
                  <c:v>47.077430048090321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7712"/>
        <c:axId val="126949248"/>
      </c:lineChart>
      <c:catAx>
        <c:axId val="12694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949248"/>
        <c:crosses val="autoZero"/>
        <c:auto val="1"/>
        <c:lblAlgn val="ctr"/>
        <c:lblOffset val="100"/>
        <c:noMultiLvlLbl val="0"/>
      </c:catAx>
      <c:valAx>
        <c:axId val="126949248"/>
        <c:scaling>
          <c:orientation val="minMax"/>
          <c:max val="3000"/>
          <c:min val="-15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Delta Costs from</a:t>
                </a:r>
                <a:r>
                  <a:rPr lang="en-US" sz="1200" b="0" baseline="0"/>
                  <a:t> </a:t>
                </a:r>
                <a:r>
                  <a:rPr lang="en-US" sz="1200" b="0"/>
                  <a:t>Base,</a:t>
                </a:r>
                <a:r>
                  <a:rPr lang="en-US" sz="1200" b="0" baseline="0"/>
                  <a:t> Base Case Scenarios </a:t>
                </a:r>
                <a:r>
                  <a:rPr lang="en-US" sz="1200" b="0"/>
                  <a:t>(2013 $ M)</a:t>
                </a:r>
              </a:p>
            </c:rich>
          </c:tx>
          <c:layout>
            <c:manualLayout>
              <c:xMode val="edge"/>
              <c:yMode val="edge"/>
              <c:x val="2.1837576999508362E-2"/>
              <c:y val="0.11871188823981793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>
            <a:noFill/>
          </a:ln>
        </c:spPr>
        <c:crossAx val="126947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79979012340578493"/>
          <c:h val="0.78426508781899307"/>
        </c:manualLayout>
      </c:layout>
      <c:lineChart>
        <c:grouping val="standard"/>
        <c:varyColors val="0"/>
        <c:ser>
          <c:idx val="0"/>
          <c:order val="2"/>
          <c:tx>
            <c:strRef>
              <c:f>Charts!$AN$15</c:f>
              <c:strCache>
                <c:ptCount val="1"/>
                <c:pt idx="0">
                  <c:v>Scen 5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S5_LowRefNGNoHydro!$H$29:$H$44</c:f>
              <c:numCache>
                <c:formatCode>#,##0</c:formatCode>
                <c:ptCount val="16"/>
                <c:pt idx="0">
                  <c:v>417.0945516998749</c:v>
                </c:pt>
                <c:pt idx="1">
                  <c:v>417.9780398733231</c:v>
                </c:pt>
                <c:pt idx="2">
                  <c:v>424.25323497959897</c:v>
                </c:pt>
                <c:pt idx="3">
                  <c:v>418.80584190709834</c:v>
                </c:pt>
                <c:pt idx="4">
                  <c:v>421.49173487321491</c:v>
                </c:pt>
                <c:pt idx="5">
                  <c:v>463.94886298110816</c:v>
                </c:pt>
                <c:pt idx="6">
                  <c:v>445.23467943106948</c:v>
                </c:pt>
                <c:pt idx="7">
                  <c:v>422.74661788659614</c:v>
                </c:pt>
                <c:pt idx="8">
                  <c:v>417.81605799319919</c:v>
                </c:pt>
                <c:pt idx="9">
                  <c:v>425.4612272955261</c:v>
                </c:pt>
                <c:pt idx="10">
                  <c:v>421.26826143712913</c:v>
                </c:pt>
                <c:pt idx="11">
                  <c:v>416.17181691382518</c:v>
                </c:pt>
                <c:pt idx="12">
                  <c:v>409.27971500920114</c:v>
                </c:pt>
                <c:pt idx="13">
                  <c:v>417.99996603859836</c:v>
                </c:pt>
                <c:pt idx="14">
                  <c:v>415.82296592201573</c:v>
                </c:pt>
                <c:pt idx="15">
                  <c:v>400.58521083048424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Charts!$AJ$15</c:f>
              <c:strCache>
                <c:ptCount val="1"/>
                <c:pt idx="0">
                  <c:v>Scen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S1_BaseRefNGNoHydro!$H$29:$H$44</c:f>
              <c:numCache>
                <c:formatCode>#,##0</c:formatCode>
                <c:ptCount val="16"/>
                <c:pt idx="0">
                  <c:v>416.75783869987492</c:v>
                </c:pt>
                <c:pt idx="1">
                  <c:v>420.87310284337462</c:v>
                </c:pt>
                <c:pt idx="2">
                  <c:v>435.40147906746199</c:v>
                </c:pt>
                <c:pt idx="3">
                  <c:v>434.00356155685216</c:v>
                </c:pt>
                <c:pt idx="4">
                  <c:v>440.13931452893888</c:v>
                </c:pt>
                <c:pt idx="5">
                  <c:v>488.53867264280228</c:v>
                </c:pt>
                <c:pt idx="6">
                  <c:v>478.1397385320671</c:v>
                </c:pt>
                <c:pt idx="7">
                  <c:v>463.25940642689727</c:v>
                </c:pt>
                <c:pt idx="8">
                  <c:v>465.13728597280374</c:v>
                </c:pt>
                <c:pt idx="9">
                  <c:v>476.54213471443416</c:v>
                </c:pt>
                <c:pt idx="10">
                  <c:v>481.85730829534066</c:v>
                </c:pt>
                <c:pt idx="11">
                  <c:v>481.65061321134021</c:v>
                </c:pt>
                <c:pt idx="12">
                  <c:v>480.24727074601969</c:v>
                </c:pt>
                <c:pt idx="13">
                  <c:v>496.0698512147203</c:v>
                </c:pt>
                <c:pt idx="14">
                  <c:v>500.40460053744118</c:v>
                </c:pt>
                <c:pt idx="15">
                  <c:v>486.86367488521319</c:v>
                </c:pt>
              </c:numCache>
            </c:numRef>
          </c:val>
          <c:smooth val="0"/>
        </c:ser>
        <c:ser>
          <c:idx val="1"/>
          <c:order val="0"/>
          <c:tx>
            <c:strRef>
              <c:f>Charts!$AN$15</c:f>
              <c:strCache>
                <c:ptCount val="1"/>
                <c:pt idx="0">
                  <c:v>Scen 5</c:v>
                </c:pt>
              </c:strCache>
            </c:strRef>
          </c:tx>
          <c:spPr>
            <a:ln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8"/>
              <c:layout>
                <c:manualLayout>
                  <c:x val="-0.1032488731527348"/>
                  <c:y val="0.1100547639680308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Low Demand + Incremental Canadian Transmission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6.5061744206703659E-2"/>
                  <c:y val="-7.2857144223043541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1"/>
                        </a:solidFill>
                      </a:defRPr>
                    </a:pPr>
                    <a:r>
                      <a:rPr lang="en-US">
                        <a:solidFill>
                          <a:schemeClr val="accent1"/>
                        </a:solidFill>
                      </a:rPr>
                      <a:t>Low Demand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S8_LowRefNGHydro!$H$29:$H$44</c:f>
              <c:numCache>
                <c:formatCode>#,##0</c:formatCode>
                <c:ptCount val="16"/>
                <c:pt idx="0">
                  <c:v>417.0945516998749</c:v>
                </c:pt>
                <c:pt idx="1">
                  <c:v>417.96921120665644</c:v>
                </c:pt>
                <c:pt idx="2">
                  <c:v>424.23557764626565</c:v>
                </c:pt>
                <c:pt idx="3">
                  <c:v>400.99538590709835</c:v>
                </c:pt>
                <c:pt idx="4">
                  <c:v>402.81234020654824</c:v>
                </c:pt>
                <c:pt idx="5">
                  <c:v>439.05675964777481</c:v>
                </c:pt>
                <c:pt idx="6">
                  <c:v>424.25344576440284</c:v>
                </c:pt>
                <c:pt idx="7">
                  <c:v>387.8206238865962</c:v>
                </c:pt>
                <c:pt idx="8">
                  <c:v>384.37642365986585</c:v>
                </c:pt>
                <c:pt idx="9">
                  <c:v>398.02021262885944</c:v>
                </c:pt>
                <c:pt idx="10">
                  <c:v>391.97270643712915</c:v>
                </c:pt>
                <c:pt idx="11">
                  <c:v>390.49341158049185</c:v>
                </c:pt>
                <c:pt idx="12">
                  <c:v>382.44460934253448</c:v>
                </c:pt>
                <c:pt idx="13">
                  <c:v>395.92553003859837</c:v>
                </c:pt>
                <c:pt idx="14">
                  <c:v>392.81318958868241</c:v>
                </c:pt>
                <c:pt idx="15">
                  <c:v>382.88530416381764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Charts!$AJ$15</c:f>
              <c:strCache>
                <c:ptCount val="1"/>
                <c:pt idx="0">
                  <c:v>Scen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0.13432102029771079"/>
                  <c:y val="-6.0714286852536312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r>
                      <a:rPr lang="en-US" b="1">
                        <a:solidFill>
                          <a:schemeClr val="tx1"/>
                        </a:solidFill>
                      </a:rPr>
                      <a:t>Base Case</a:t>
                    </a:r>
                    <a:endParaRPr lang="en-US" b="1">
                      <a:solidFill>
                        <a:schemeClr val="accent1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S1_BaseRefNGNoHydro!$H$29:$H$44</c:f>
              <c:numCache>
                <c:formatCode>#,##0</c:formatCode>
                <c:ptCount val="16"/>
                <c:pt idx="0">
                  <c:v>416.75783869987492</c:v>
                </c:pt>
                <c:pt idx="1">
                  <c:v>420.87310284337462</c:v>
                </c:pt>
                <c:pt idx="2">
                  <c:v>435.40147906746199</c:v>
                </c:pt>
                <c:pt idx="3">
                  <c:v>434.00356155685216</c:v>
                </c:pt>
                <c:pt idx="4">
                  <c:v>440.13931452893888</c:v>
                </c:pt>
                <c:pt idx="5">
                  <c:v>488.53867264280228</c:v>
                </c:pt>
                <c:pt idx="6">
                  <c:v>478.1397385320671</c:v>
                </c:pt>
                <c:pt idx="7">
                  <c:v>463.25940642689727</c:v>
                </c:pt>
                <c:pt idx="8">
                  <c:v>465.13728597280374</c:v>
                </c:pt>
                <c:pt idx="9">
                  <c:v>476.54213471443416</c:v>
                </c:pt>
                <c:pt idx="10">
                  <c:v>481.85730829534066</c:v>
                </c:pt>
                <c:pt idx="11">
                  <c:v>481.65061321134021</c:v>
                </c:pt>
                <c:pt idx="12">
                  <c:v>480.24727074601969</c:v>
                </c:pt>
                <c:pt idx="13">
                  <c:v>496.0698512147203</c:v>
                </c:pt>
                <c:pt idx="14">
                  <c:v>500.40460053744118</c:v>
                </c:pt>
                <c:pt idx="15">
                  <c:v>486.86367488521319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98784"/>
        <c:axId val="127000576"/>
      </c:lineChart>
      <c:catAx>
        <c:axId val="12699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7000576"/>
        <c:crosses val="autoZero"/>
        <c:auto val="1"/>
        <c:lblAlgn val="ctr"/>
        <c:lblOffset val="100"/>
        <c:noMultiLvlLbl val="0"/>
      </c:catAx>
      <c:valAx>
        <c:axId val="127000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Annual NG Consumption
(Trillion Btu)</a:t>
                </a:r>
              </a:p>
            </c:rich>
          </c:tx>
          <c:layout>
            <c:manualLayout>
              <c:xMode val="edge"/>
              <c:yMode val="edge"/>
              <c:x val="2.1837576999508362E-2"/>
              <c:y val="0.1713309368453494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26998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2962151978747"/>
          <c:y val="7.2901444936285073E-2"/>
          <c:w val="0.79979012340578493"/>
          <c:h val="0.78426508781899307"/>
        </c:manualLayout>
      </c:layout>
      <c:lineChart>
        <c:grouping val="standard"/>
        <c:varyColors val="0"/>
        <c:ser>
          <c:idx val="0"/>
          <c:order val="0"/>
          <c:tx>
            <c:strRef>
              <c:f>Charts!$AJ$15</c:f>
              <c:strCache>
                <c:ptCount val="1"/>
                <c:pt idx="0">
                  <c:v>Scen 1</c:v>
                </c:pt>
              </c:strCache>
            </c:strRef>
          </c:tx>
          <c:marker>
            <c:symbol val="none"/>
          </c:marker>
          <c:dLbls>
            <c:dLbl>
              <c:idx val="15"/>
              <c:layout>
                <c:manualLayout>
                  <c:x val="-0.10283953116543482"/>
                  <c:y val="-5.2619048605531453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1"/>
                        </a:solidFill>
                      </a:defRPr>
                    </a:pPr>
                    <a:r>
                      <a:rPr lang="en-US"/>
                      <a:t>Base Case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S1_BaseRefNGNoHydro!$P$29:$P$44</c:f>
              <c:numCache>
                <c:formatCode>#,##0</c:formatCode>
                <c:ptCount val="16"/>
                <c:pt idx="0">
                  <c:v>30.63022584219868</c:v>
                </c:pt>
                <c:pt idx="1">
                  <c:v>30.688670850116416</c:v>
                </c:pt>
                <c:pt idx="2">
                  <c:v>30.199106667311675</c:v>
                </c:pt>
                <c:pt idx="3">
                  <c:v>29.459136692202392</c:v>
                </c:pt>
                <c:pt idx="4">
                  <c:v>29.773830911881717</c:v>
                </c:pt>
                <c:pt idx="5">
                  <c:v>29.479301897657706</c:v>
                </c:pt>
                <c:pt idx="6">
                  <c:v>29.265809122509793</c:v>
                </c:pt>
                <c:pt idx="7">
                  <c:v>28.895090638502644</c:v>
                </c:pt>
                <c:pt idx="8">
                  <c:v>28.971355118322933</c:v>
                </c:pt>
                <c:pt idx="9">
                  <c:v>28.736648537879525</c:v>
                </c:pt>
                <c:pt idx="10">
                  <c:v>28.940148107656491</c:v>
                </c:pt>
                <c:pt idx="11">
                  <c:v>28.770566171479516</c:v>
                </c:pt>
                <c:pt idx="12">
                  <c:v>28.797894690229146</c:v>
                </c:pt>
                <c:pt idx="13">
                  <c:v>28.906181401008652</c:v>
                </c:pt>
                <c:pt idx="14">
                  <c:v>29.254628662169029</c:v>
                </c:pt>
                <c:pt idx="15">
                  <c:v>28.946403150433689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Charts!$AN$15</c:f>
              <c:strCache>
                <c:ptCount val="1"/>
                <c:pt idx="0">
                  <c:v>Scen 5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0.20567906233086955"/>
                  <c:y val="-7.2857462933210784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1"/>
                        </a:solidFill>
                      </a:defRPr>
                    </a:pPr>
                    <a:r>
                      <a:rPr lang="en-US">
                        <a:solidFill>
                          <a:schemeClr val="accent1"/>
                        </a:solidFill>
                      </a:rPr>
                      <a:t>Low Demand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Charts!$AI$16:$AI$31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S5_LowRefNGNoHydro!$P$29:$P$44</c:f>
              <c:numCache>
                <c:formatCode>#,##0</c:formatCode>
                <c:ptCount val="16"/>
                <c:pt idx="0">
                  <c:v>30.694014888860618</c:v>
                </c:pt>
                <c:pt idx="1">
                  <c:v>30.318568750810392</c:v>
                </c:pt>
                <c:pt idx="2">
                  <c:v>29.372967850905923</c:v>
                </c:pt>
                <c:pt idx="3">
                  <c:v>28.251404677212161</c:v>
                </c:pt>
                <c:pt idx="4">
                  <c:v>28.122977506887118</c:v>
                </c:pt>
                <c:pt idx="5">
                  <c:v>27.330828832012479</c:v>
                </c:pt>
                <c:pt idx="6">
                  <c:v>26.342322203276609</c:v>
                </c:pt>
                <c:pt idx="7">
                  <c:v>25.086673470590029</c:v>
                </c:pt>
                <c:pt idx="8">
                  <c:v>24.378233985636214</c:v>
                </c:pt>
                <c:pt idx="9">
                  <c:v>23.42007265421196</c:v>
                </c:pt>
                <c:pt idx="10">
                  <c:v>22.748262393354377</c:v>
                </c:pt>
                <c:pt idx="11">
                  <c:v>21.85194765520837</c:v>
                </c:pt>
                <c:pt idx="12">
                  <c:v>21.101137398328344</c:v>
                </c:pt>
                <c:pt idx="13">
                  <c:v>20.463782022477996</c:v>
                </c:pt>
                <c:pt idx="14">
                  <c:v>20.006499315094192</c:v>
                </c:pt>
                <c:pt idx="15">
                  <c:v>19.033150813173375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5"/>
          </c:marker>
          <c:dLbls>
            <c:dLbl>
              <c:idx val="5"/>
              <c:layout>
                <c:manualLayout>
                  <c:x val="-0.15847781629187721"/>
                  <c:y val="8.0952356669708909E-3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2020 GWSA Target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9.5110288497688461E-2"/>
                  <c:y val="4.8571414001825575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2030 GWSA Target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Charts!$AJ$152:$AJ$167</c:f>
                <c:numCache>
                  <c:formatCode>General</c:formatCode>
                  <c:ptCount val="16"/>
                  <c:pt idx="5">
                    <c:v>23.326496260794567</c:v>
                  </c:pt>
                  <c:pt idx="15">
                    <c:v>18.676721162166132</c:v>
                  </c:pt>
                </c:numCache>
              </c:numRef>
            </c:minus>
            <c:spPr>
              <a:ln w="41275">
                <a:solidFill>
                  <a:schemeClr val="accent3"/>
                </a:solidFill>
              </a:ln>
            </c:spPr>
          </c:errBars>
          <c:val>
            <c:numRef>
              <c:f>Charts!$AJ$152:$AJ$168</c:f>
              <c:numCache>
                <c:formatCode>General</c:formatCode>
                <c:ptCount val="17"/>
                <c:pt idx="5" formatCode="#,##0">
                  <c:v>23.326496260794567</c:v>
                </c:pt>
                <c:pt idx="15" formatCode="#,##0">
                  <c:v>18.676721162166132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4064"/>
        <c:axId val="127305600"/>
      </c:lineChart>
      <c:catAx>
        <c:axId val="1273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7305600"/>
        <c:crosses val="autoZero"/>
        <c:auto val="1"/>
        <c:lblAlgn val="ctr"/>
        <c:lblOffset val="100"/>
        <c:noMultiLvlLbl val="0"/>
      </c:catAx>
      <c:valAx>
        <c:axId val="127305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 i="0" baseline="0">
                    <a:effectLst/>
                  </a:rPr>
                  <a:t>Annual CO</a:t>
                </a:r>
                <a:r>
                  <a:rPr lang="en-US" sz="1200" b="0" i="0" baseline="-25000">
                    <a:effectLst/>
                  </a:rPr>
                  <a:t>2</a:t>
                </a:r>
                <a:r>
                  <a:rPr lang="en-US" sz="1200" b="0" i="0" baseline="0">
                    <a:effectLst/>
                  </a:rPr>
                  <a:t> Emissions</a:t>
                </a:r>
                <a:br>
                  <a:rPr lang="en-US" sz="1200" b="0" i="0" baseline="0">
                    <a:effectLst/>
                  </a:rPr>
                </a:br>
                <a:r>
                  <a:rPr lang="en-US" sz="1200" b="0" i="0" baseline="0">
                    <a:effectLst/>
                  </a:rPr>
                  <a:t>(Million Metric Tons)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3936342941660093E-2"/>
              <c:y val="0.2279976045743833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27304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2959398305388"/>
          <c:y val="7.2636617052828048E-2"/>
          <c:w val="0.79979015649189511"/>
          <c:h val="0.78496225024807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Charts!$AJ$283</c:f>
              <c:strCache>
                <c:ptCount val="1"/>
                <c:pt idx="0">
                  <c:v>Heating System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Charts!$AJ$284:$AJ$299</c:f>
              <c:numCache>
                <c:formatCode>#,##0</c:formatCode>
                <c:ptCount val="16"/>
                <c:pt idx="0">
                  <c:v>141.94137254070085</c:v>
                </c:pt>
                <c:pt idx="1">
                  <c:v>142.36789135466694</c:v>
                </c:pt>
                <c:pt idx="2">
                  <c:v>142.5731474960993</c:v>
                </c:pt>
                <c:pt idx="3">
                  <c:v>143.19082471359721</c:v>
                </c:pt>
                <c:pt idx="4">
                  <c:v>143.638908297412</c:v>
                </c:pt>
                <c:pt idx="5">
                  <c:v>142.33927446820192</c:v>
                </c:pt>
                <c:pt idx="6">
                  <c:v>141.55636340871075</c:v>
                </c:pt>
                <c:pt idx="7">
                  <c:v>140.77833147695</c:v>
                </c:pt>
                <c:pt idx="8">
                  <c:v>140.4171614211802</c:v>
                </c:pt>
                <c:pt idx="9">
                  <c:v>139.95100685192952</c:v>
                </c:pt>
                <c:pt idx="10">
                  <c:v>139.55015451632687</c:v>
                </c:pt>
                <c:pt idx="11">
                  <c:v>139.17914038499944</c:v>
                </c:pt>
                <c:pt idx="12">
                  <c:v>138.98675505303009</c:v>
                </c:pt>
                <c:pt idx="13">
                  <c:v>138.77586013704433</c:v>
                </c:pt>
                <c:pt idx="14">
                  <c:v>138.70869191350175</c:v>
                </c:pt>
                <c:pt idx="15">
                  <c:v>138.68456008281441</c:v>
                </c:pt>
              </c:numCache>
            </c:numRef>
          </c:val>
        </c:ser>
        <c:ser>
          <c:idx val="2"/>
          <c:order val="1"/>
          <c:tx>
            <c:strRef>
              <c:f>Charts!$AK$283</c:f>
              <c:strCache>
                <c:ptCount val="1"/>
                <c:pt idx="0">
                  <c:v>Electric System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Charts!$AK$284:$AK$299</c:f>
              <c:numCache>
                <c:formatCode>#,##0</c:formatCode>
                <c:ptCount val="16"/>
                <c:pt idx="0">
                  <c:v>9.9414400000000001</c:v>
                </c:pt>
                <c:pt idx="1">
                  <c:v>14.10284</c:v>
                </c:pt>
                <c:pt idx="2">
                  <c:v>12.459070000000001</c:v>
                </c:pt>
                <c:pt idx="3">
                  <c:v>23.138960000000001</c:v>
                </c:pt>
                <c:pt idx="4">
                  <c:v>19.635619999999999</c:v>
                </c:pt>
                <c:pt idx="5">
                  <c:v>53.835350000000005</c:v>
                </c:pt>
                <c:pt idx="6">
                  <c:v>51.71199</c:v>
                </c:pt>
                <c:pt idx="7">
                  <c:v>52.166459999999994</c:v>
                </c:pt>
                <c:pt idx="8">
                  <c:v>52.904009999999992</c:v>
                </c:pt>
                <c:pt idx="9">
                  <c:v>55.142089999999996</c:v>
                </c:pt>
                <c:pt idx="10">
                  <c:v>53.308159999999994</c:v>
                </c:pt>
                <c:pt idx="11">
                  <c:v>53.308159999999994</c:v>
                </c:pt>
                <c:pt idx="12">
                  <c:v>55.878479999999996</c:v>
                </c:pt>
                <c:pt idx="13">
                  <c:v>60.070159999999987</c:v>
                </c:pt>
                <c:pt idx="14">
                  <c:v>60.070159999999987</c:v>
                </c:pt>
                <c:pt idx="15">
                  <c:v>60.978319999999989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324160"/>
        <c:axId val="127325696"/>
      </c:barChart>
      <c:lineChart>
        <c:grouping val="standard"/>
        <c:varyColors val="0"/>
        <c:ser>
          <c:idx val="3"/>
          <c:order val="2"/>
          <c:tx>
            <c:strRef>
              <c:f>Charts!$AL$283</c:f>
              <c:strCache>
                <c:ptCount val="1"/>
                <c:pt idx="0">
                  <c:v>Existing Pipeline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Charts!$AL$284:$AL$299</c:f>
              <c:numCache>
                <c:formatCode>#,##0</c:formatCode>
                <c:ptCount val="16"/>
                <c:pt idx="0">
                  <c:v>85.720249999999993</c:v>
                </c:pt>
                <c:pt idx="1">
                  <c:v>99.970249999999993</c:v>
                </c:pt>
                <c:pt idx="2">
                  <c:v>99.970249999999993</c:v>
                </c:pt>
                <c:pt idx="3">
                  <c:v>99.970249999999993</c:v>
                </c:pt>
                <c:pt idx="4">
                  <c:v>99.970249999999993</c:v>
                </c:pt>
                <c:pt idx="5">
                  <c:v>99.970249999999993</c:v>
                </c:pt>
                <c:pt idx="6">
                  <c:v>99.970249999999993</c:v>
                </c:pt>
                <c:pt idx="7">
                  <c:v>99.970249999999993</c:v>
                </c:pt>
                <c:pt idx="8">
                  <c:v>99.970249999999993</c:v>
                </c:pt>
                <c:pt idx="9">
                  <c:v>99.970249999999993</c:v>
                </c:pt>
                <c:pt idx="10">
                  <c:v>99.970249999999993</c:v>
                </c:pt>
                <c:pt idx="11">
                  <c:v>99.970249999999993</c:v>
                </c:pt>
                <c:pt idx="12">
                  <c:v>99.970249999999993</c:v>
                </c:pt>
                <c:pt idx="13">
                  <c:v>99.970249999999993</c:v>
                </c:pt>
                <c:pt idx="14">
                  <c:v>99.970249999999993</c:v>
                </c:pt>
                <c:pt idx="15">
                  <c:v>99.970249999999993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Charts!$AM$283</c:f>
              <c:strCache>
                <c:ptCount val="1"/>
                <c:pt idx="0">
                  <c:v>Available Pipeline and Vaporization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Charts!$AI$284:$AI$299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Charts!$AM$284:$AM$299</c:f>
              <c:numCache>
                <c:formatCode>#,##0</c:formatCode>
                <c:ptCount val="16"/>
                <c:pt idx="0">
                  <c:v>153.64758333333333</c:v>
                </c:pt>
                <c:pt idx="1">
                  <c:v>167.89758333333333</c:v>
                </c:pt>
                <c:pt idx="2">
                  <c:v>167.89758333333333</c:v>
                </c:pt>
                <c:pt idx="3">
                  <c:v>167.89758333333333</c:v>
                </c:pt>
                <c:pt idx="4">
                  <c:v>167.89758333333333</c:v>
                </c:pt>
                <c:pt idx="5">
                  <c:v>167.89758333333333</c:v>
                </c:pt>
                <c:pt idx="6">
                  <c:v>167.89758333333333</c:v>
                </c:pt>
                <c:pt idx="7">
                  <c:v>167.89758333333333</c:v>
                </c:pt>
                <c:pt idx="8">
                  <c:v>167.89758333333333</c:v>
                </c:pt>
                <c:pt idx="9">
                  <c:v>167.89758333333333</c:v>
                </c:pt>
                <c:pt idx="10">
                  <c:v>167.89758333333333</c:v>
                </c:pt>
                <c:pt idx="11">
                  <c:v>167.89758333333333</c:v>
                </c:pt>
                <c:pt idx="12">
                  <c:v>167.89758333333333</c:v>
                </c:pt>
                <c:pt idx="13">
                  <c:v>167.89758333333333</c:v>
                </c:pt>
                <c:pt idx="14">
                  <c:v>167.89758333333333</c:v>
                </c:pt>
                <c:pt idx="15">
                  <c:v>167.89758333333333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24160"/>
        <c:axId val="127325696"/>
      </c:lineChart>
      <c:catAx>
        <c:axId val="1273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7325696"/>
        <c:crosses val="autoZero"/>
        <c:auto val="1"/>
        <c:lblAlgn val="ctr"/>
        <c:lblOffset val="100"/>
        <c:noMultiLvlLbl val="0"/>
      </c:catAx>
      <c:valAx>
        <c:axId val="127325696"/>
        <c:scaling>
          <c:orientation val="minMax"/>
          <c:max val="2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Billion Btu / Peak Hour</a:t>
                </a:r>
              </a:p>
            </c:rich>
          </c:tx>
          <c:layout>
            <c:manualLayout>
              <c:xMode val="edge"/>
              <c:yMode val="edge"/>
              <c:x val="3.8627698153218482E-2"/>
              <c:y val="0.2284837852892103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2732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31</xdr:col>
      <xdr:colOff>0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118</xdr:row>
      <xdr:rowOff>0</xdr:rowOff>
    </xdr:from>
    <xdr:to>
      <xdr:col>30</xdr:col>
      <xdr:colOff>201705</xdr:colOff>
      <xdr:row>132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134</xdr:row>
      <xdr:rowOff>0</xdr:rowOff>
    </xdr:from>
    <xdr:to>
      <xdr:col>30</xdr:col>
      <xdr:colOff>201705</xdr:colOff>
      <xdr:row>148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20</xdr:row>
      <xdr:rowOff>0</xdr:rowOff>
    </xdr:from>
    <xdr:to>
      <xdr:col>31</xdr:col>
      <xdr:colOff>0</xdr:colOff>
      <xdr:row>34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</xdr:colOff>
      <xdr:row>36</xdr:row>
      <xdr:rowOff>0</xdr:rowOff>
    </xdr:from>
    <xdr:to>
      <xdr:col>31</xdr:col>
      <xdr:colOff>0</xdr:colOff>
      <xdr:row>50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30</xdr:col>
      <xdr:colOff>201705</xdr:colOff>
      <xdr:row>65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</xdr:colOff>
      <xdr:row>191</xdr:row>
      <xdr:rowOff>0</xdr:rowOff>
    </xdr:from>
    <xdr:to>
      <xdr:col>31</xdr:col>
      <xdr:colOff>0</xdr:colOff>
      <xdr:row>205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206</xdr:row>
      <xdr:rowOff>0</xdr:rowOff>
    </xdr:from>
    <xdr:to>
      <xdr:col>30</xdr:col>
      <xdr:colOff>201705</xdr:colOff>
      <xdr:row>220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251</xdr:row>
      <xdr:rowOff>214591</xdr:rowOff>
    </xdr:from>
    <xdr:to>
      <xdr:col>31</xdr:col>
      <xdr:colOff>0</xdr:colOff>
      <xdr:row>266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30</xdr:col>
      <xdr:colOff>201705</xdr:colOff>
      <xdr:row>235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30</xdr:col>
      <xdr:colOff>201705</xdr:colOff>
      <xdr:row>80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150</xdr:row>
      <xdr:rowOff>1</xdr:rowOff>
    </xdr:from>
    <xdr:to>
      <xdr:col>30</xdr:col>
      <xdr:colOff>201705</xdr:colOff>
      <xdr:row>158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30</xdr:col>
      <xdr:colOff>201705</xdr:colOff>
      <xdr:row>167</xdr:row>
      <xdr:rowOff>214591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170</xdr:row>
      <xdr:rowOff>1</xdr:rowOff>
    </xdr:from>
    <xdr:to>
      <xdr:col>30</xdr:col>
      <xdr:colOff>201705</xdr:colOff>
      <xdr:row>178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180</xdr:row>
      <xdr:rowOff>0</xdr:rowOff>
    </xdr:from>
    <xdr:to>
      <xdr:col>30</xdr:col>
      <xdr:colOff>201705</xdr:colOff>
      <xdr:row>187</xdr:row>
      <xdr:rowOff>214591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326</xdr:row>
      <xdr:rowOff>214592</xdr:rowOff>
    </xdr:from>
    <xdr:to>
      <xdr:col>31</xdr:col>
      <xdr:colOff>0</xdr:colOff>
      <xdr:row>341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343</xdr:row>
      <xdr:rowOff>0</xdr:rowOff>
    </xdr:from>
    <xdr:to>
      <xdr:col>31</xdr:col>
      <xdr:colOff>0</xdr:colOff>
      <xdr:row>357</xdr:row>
      <xdr:rowOff>19051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96</xdr:row>
      <xdr:rowOff>0</xdr:rowOff>
    </xdr:from>
    <xdr:to>
      <xdr:col>30</xdr:col>
      <xdr:colOff>201705</xdr:colOff>
      <xdr:row>110</xdr:row>
      <xdr:rowOff>-1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274</xdr:row>
      <xdr:rowOff>0</xdr:rowOff>
    </xdr:from>
    <xdr:to>
      <xdr:col>31</xdr:col>
      <xdr:colOff>0</xdr:colOff>
      <xdr:row>288</xdr:row>
      <xdr:rowOff>9527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289</xdr:row>
      <xdr:rowOff>0</xdr:rowOff>
    </xdr:from>
    <xdr:to>
      <xdr:col>31</xdr:col>
      <xdr:colOff>0</xdr:colOff>
      <xdr:row>303</xdr:row>
      <xdr:rowOff>9527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304</xdr:row>
      <xdr:rowOff>0</xdr:rowOff>
    </xdr:from>
    <xdr:to>
      <xdr:col>31</xdr:col>
      <xdr:colOff>0</xdr:colOff>
      <xdr:row>318</xdr:row>
      <xdr:rowOff>9527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359</xdr:row>
      <xdr:rowOff>0</xdr:rowOff>
    </xdr:from>
    <xdr:to>
      <xdr:col>31</xdr:col>
      <xdr:colOff>0</xdr:colOff>
      <xdr:row>373</xdr:row>
      <xdr:rowOff>19051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30</xdr:col>
      <xdr:colOff>201705</xdr:colOff>
      <xdr:row>95</xdr:row>
      <xdr:rowOff>-1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236</xdr:row>
      <xdr:rowOff>0</xdr:rowOff>
    </xdr:from>
    <xdr:to>
      <xdr:col>30</xdr:col>
      <xdr:colOff>201705</xdr:colOff>
      <xdr:row>250</xdr:row>
      <xdr:rowOff>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376</xdr:row>
      <xdr:rowOff>0</xdr:rowOff>
    </xdr:from>
    <xdr:to>
      <xdr:col>31</xdr:col>
      <xdr:colOff>0</xdr:colOff>
      <xdr:row>386</xdr:row>
      <xdr:rowOff>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387</xdr:row>
      <xdr:rowOff>0</xdr:rowOff>
    </xdr:from>
    <xdr:to>
      <xdr:col>31</xdr:col>
      <xdr:colOff>0</xdr:colOff>
      <xdr:row>397</xdr:row>
      <xdr:rowOff>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398</xdr:row>
      <xdr:rowOff>0</xdr:rowOff>
    </xdr:from>
    <xdr:to>
      <xdr:col>31</xdr:col>
      <xdr:colOff>0</xdr:colOff>
      <xdr:row>408</xdr:row>
      <xdr:rowOff>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0.20741</cdr:x>
      <cdr:y>0.20714</cdr:y>
    </cdr:from>
    <cdr:to>
      <cdr:x>0.8</cdr:x>
      <cdr:y>0.63571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55074" y="649932"/>
          <a:ext cx="3585867" cy="1344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2020 BAU for gas heating</a:t>
          </a:r>
          <a:r>
            <a:rPr lang="en-US" sz="1200" b="1" baseline="0"/>
            <a:t> and electric</a:t>
          </a:r>
          <a:endParaRPr lang="en-US" sz="1200" b="1"/>
        </a:p>
        <a:p xmlns:a="http://schemas.openxmlformats.org/drawingml/2006/main">
          <a:endParaRPr lang="en-US" sz="1200" b="1"/>
        </a:p>
        <a:p xmlns:a="http://schemas.openxmlformats.org/drawingml/2006/main">
          <a:endParaRPr lang="en-US" sz="1200" b="1"/>
        </a:p>
        <a:p xmlns:a="http://schemas.openxmlformats.org/drawingml/2006/main">
          <a:endParaRPr lang="en-US" sz="1200" b="1"/>
        </a:p>
        <a:p xmlns:a="http://schemas.openxmlformats.org/drawingml/2006/main">
          <a:endParaRPr lang="en-US" sz="1200" b="1"/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/>
            <a:t>2020 GWSA Target </a:t>
          </a:r>
          <a:r>
            <a:rPr lang="en-US" sz="1200" b="1">
              <a:effectLst/>
              <a:latin typeface="+mn-lt"/>
              <a:ea typeface="+mn-ea"/>
              <a:cs typeface="+mn-cs"/>
            </a:rPr>
            <a:t>for gas heating</a:t>
          </a:r>
          <a:r>
            <a:rPr lang="en-US" sz="1200" b="1" baseline="0">
              <a:effectLst/>
              <a:latin typeface="+mn-lt"/>
              <a:ea typeface="+mn-ea"/>
              <a:cs typeface="+mn-cs"/>
            </a:rPr>
            <a:t> and electric</a:t>
          </a:r>
          <a:endParaRPr lang="en-US" sz="1200">
            <a:effectLst/>
          </a:endParaRPr>
        </a:p>
        <a:p xmlns:a="http://schemas.openxmlformats.org/drawingml/2006/main">
          <a:endParaRPr lang="en-US" sz="12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0.21111</cdr:x>
      <cdr:y>0.16786</cdr:y>
    </cdr:from>
    <cdr:to>
      <cdr:x>0.81667</cdr:x>
      <cdr:y>0.65714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7464" y="526685"/>
          <a:ext cx="3664330" cy="1535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/>
            <a:t>2030 BAU </a:t>
          </a:r>
          <a:r>
            <a:rPr lang="en-US" sz="1200" b="1">
              <a:effectLst/>
              <a:latin typeface="+mn-lt"/>
              <a:ea typeface="+mn-ea"/>
              <a:cs typeface="+mn-cs"/>
            </a:rPr>
            <a:t>for gas heating</a:t>
          </a:r>
          <a:r>
            <a:rPr lang="en-US" sz="1200" b="1" baseline="0">
              <a:effectLst/>
              <a:latin typeface="+mn-lt"/>
              <a:ea typeface="+mn-ea"/>
              <a:cs typeface="+mn-cs"/>
            </a:rPr>
            <a:t> and electric</a:t>
          </a:r>
          <a:endParaRPr lang="en-US" sz="1200">
            <a:effectLst/>
          </a:endParaRPr>
        </a:p>
        <a:p xmlns:a="http://schemas.openxmlformats.org/drawingml/2006/main">
          <a:endParaRPr lang="en-US" sz="1200" b="1"/>
        </a:p>
        <a:p xmlns:a="http://schemas.openxmlformats.org/drawingml/2006/main">
          <a:endParaRPr lang="en-US" sz="1200" b="1"/>
        </a:p>
        <a:p xmlns:a="http://schemas.openxmlformats.org/drawingml/2006/main">
          <a:endParaRPr lang="en-US" sz="1200" b="1"/>
        </a:p>
        <a:p xmlns:a="http://schemas.openxmlformats.org/drawingml/2006/main">
          <a:endParaRPr lang="en-US" sz="1200" b="1"/>
        </a:p>
        <a:p xmlns:a="http://schemas.openxmlformats.org/drawingml/2006/main">
          <a:endParaRPr lang="en-US" sz="1200" b="1"/>
        </a:p>
        <a:p xmlns:a="http://schemas.openxmlformats.org/drawingml/2006/main">
          <a:endParaRPr lang="en-US" sz="1200" b="1"/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/>
            <a:t>2030 GWSA Target </a:t>
          </a:r>
          <a:r>
            <a:rPr lang="en-US" sz="1200" b="1">
              <a:effectLst/>
              <a:latin typeface="+mn-lt"/>
              <a:ea typeface="+mn-ea"/>
              <a:cs typeface="+mn-cs"/>
            </a:rPr>
            <a:t>for gas heating</a:t>
          </a:r>
          <a:r>
            <a:rPr lang="en-US" sz="1200" b="1" baseline="0">
              <a:effectLst/>
              <a:latin typeface="+mn-lt"/>
              <a:ea typeface="+mn-ea"/>
              <a:cs typeface="+mn-cs"/>
            </a:rPr>
            <a:t> and electric</a:t>
          </a:r>
          <a:endParaRPr lang="en-US" sz="1200">
            <a:effectLst/>
          </a:endParaRPr>
        </a:p>
        <a:p xmlns:a="http://schemas.openxmlformats.org/drawingml/2006/main">
          <a:endParaRPr lang="en-US" sz="12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0.21852</cdr:x>
      <cdr:y>0.625</cdr:y>
    </cdr:from>
    <cdr:to>
      <cdr:x>0.61667</cdr:x>
      <cdr:y>0.7875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2293" y="1120588"/>
          <a:ext cx="2409265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3"/>
              </a:solidFill>
            </a:rPr>
            <a:t>2020</a:t>
          </a:r>
          <a:r>
            <a:rPr lang="en-US" sz="1200" b="1" baseline="0">
              <a:solidFill>
                <a:schemeClr val="accent3"/>
              </a:solidFill>
            </a:rPr>
            <a:t> GWSA Compliant</a:t>
          </a:r>
          <a:endParaRPr lang="en-US" sz="12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0.23617</cdr:x>
      <cdr:y>0.41583</cdr:y>
    </cdr:from>
    <cdr:to>
      <cdr:x>0.63432</cdr:x>
      <cdr:y>0.57833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29125" y="745565"/>
          <a:ext cx="2409265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BAU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0.2121</cdr:x>
      <cdr:y>0.64719</cdr:y>
    </cdr:from>
    <cdr:to>
      <cdr:x>0.61025</cdr:x>
      <cdr:y>0.81056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83454" y="1154206"/>
          <a:ext cx="2409276" cy="291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3"/>
              </a:solidFill>
            </a:rPr>
            <a:t>2030</a:t>
          </a:r>
          <a:r>
            <a:rPr lang="en-US" sz="1200" b="1" baseline="0">
              <a:solidFill>
                <a:schemeClr val="accent3"/>
              </a:solidFill>
            </a:rPr>
            <a:t> GWSA Compliant</a:t>
          </a:r>
          <a:endParaRPr lang="en-US" sz="12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0.23617</cdr:x>
      <cdr:y>0.42099</cdr:y>
    </cdr:from>
    <cdr:to>
      <cdr:x>0.63432</cdr:x>
      <cdr:y>0.58435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29106" y="750795"/>
          <a:ext cx="2409275" cy="29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BAU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0.2121</cdr:x>
      <cdr:y>0.52833</cdr:y>
    </cdr:from>
    <cdr:to>
      <cdr:x>0.61025</cdr:x>
      <cdr:y>0.69083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83447" y="947271"/>
          <a:ext cx="2409265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3"/>
              </a:solidFill>
            </a:rPr>
            <a:t>2020</a:t>
          </a:r>
          <a:r>
            <a:rPr lang="en-US" sz="1200" b="1" baseline="0">
              <a:solidFill>
                <a:schemeClr val="accent3"/>
              </a:solidFill>
            </a:rPr>
            <a:t> GWSA Compliant</a:t>
          </a:r>
          <a:endParaRPr lang="en-US" sz="12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0.23617</cdr:x>
      <cdr:y>0.13458</cdr:y>
    </cdr:from>
    <cdr:to>
      <cdr:x>0.63432</cdr:x>
      <cdr:y>0.29708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29123" y="241300"/>
          <a:ext cx="2409265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BAU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0.2121</cdr:x>
      <cdr:y>0.58771</cdr:y>
    </cdr:from>
    <cdr:to>
      <cdr:x>0.61025</cdr:x>
      <cdr:y>0.75107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83447" y="1048123"/>
          <a:ext cx="2409265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3"/>
              </a:solidFill>
            </a:rPr>
            <a:t>2030</a:t>
          </a:r>
          <a:r>
            <a:rPr lang="en-US" sz="1200" b="1" baseline="0">
              <a:solidFill>
                <a:schemeClr val="accent3"/>
              </a:solidFill>
            </a:rPr>
            <a:t> GWSA Compliant</a:t>
          </a:r>
          <a:endParaRPr lang="en-US" sz="12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0.23247</cdr:x>
      <cdr:y>0.08504</cdr:y>
    </cdr:from>
    <cdr:to>
      <cdr:x>0.63062</cdr:x>
      <cdr:y>0.2484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06711" y="151653"/>
          <a:ext cx="2409265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BAU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65</xdr:row>
      <xdr:rowOff>0</xdr:rowOff>
    </xdr:from>
    <xdr:ext cx="16056832" cy="6041013"/>
    <xdr:sp macro="" textlink="">
      <xdr:nvSpPr>
        <xdr:cNvPr id="2" name="Rectangle 1"/>
        <xdr:cNvSpPr/>
      </xdr:nvSpPr>
      <xdr:spPr>
        <a:xfrm rot="19800000">
          <a:off x="11396382" y="16282147"/>
          <a:ext cx="16056832" cy="6041013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0" b="0" cap="none" spc="0">
              <a:ln w="18415" cmpd="sng">
                <a:noFill/>
                <a:prstDash val="solid"/>
              </a:ln>
              <a:solidFill>
                <a:schemeClr val="bg1">
                  <a:lumMod val="50000"/>
                  <a:alpha val="50000"/>
                </a:schemeClr>
              </a:solidFill>
              <a:effectLst/>
            </a:rPr>
            <a:t>DRAFT</a:t>
          </a:r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</sheetPr>
  <dimension ref="B2:C30"/>
  <sheetViews>
    <sheetView showGridLines="0" tabSelected="1" workbookViewId="0">
      <selection activeCell="C10" sqref="C10"/>
    </sheetView>
  </sheetViews>
  <sheetFormatPr defaultRowHeight="17.25" x14ac:dyDescent="0.35"/>
  <cols>
    <col min="1" max="1" width="2.625" customWidth="1"/>
    <col min="2" max="2" width="26" customWidth="1"/>
    <col min="3" max="3" width="9.875" bestFit="1" customWidth="1"/>
  </cols>
  <sheetData>
    <row r="2" spans="2:3" ht="24.75" x14ac:dyDescent="0.5">
      <c r="B2" s="198" t="s">
        <v>587</v>
      </c>
    </row>
    <row r="3" spans="2:3" x14ac:dyDescent="0.35">
      <c r="B3" s="118" t="s">
        <v>608</v>
      </c>
    </row>
    <row r="4" spans="2:3" x14ac:dyDescent="0.35">
      <c r="B4" s="118" t="s">
        <v>607</v>
      </c>
    </row>
    <row r="5" spans="2:3" x14ac:dyDescent="0.35">
      <c r="B5" s="118" t="s">
        <v>609</v>
      </c>
    </row>
    <row r="7" spans="2:3" x14ac:dyDescent="0.35">
      <c r="B7" t="s">
        <v>569</v>
      </c>
      <c r="C7" t="s">
        <v>571</v>
      </c>
    </row>
    <row r="8" spans="2:3" x14ac:dyDescent="0.35">
      <c r="C8" t="s">
        <v>572</v>
      </c>
    </row>
    <row r="9" spans="2:3" x14ac:dyDescent="0.35">
      <c r="B9" t="s">
        <v>570</v>
      </c>
      <c r="C9" s="365">
        <v>42011</v>
      </c>
    </row>
    <row r="10" spans="2:3" x14ac:dyDescent="0.35">
      <c r="B10" t="s">
        <v>573</v>
      </c>
      <c r="C10" t="s">
        <v>574</v>
      </c>
    </row>
    <row r="12" spans="2:3" x14ac:dyDescent="0.35">
      <c r="B12" s="117" t="s">
        <v>575</v>
      </c>
      <c r="C12" t="s">
        <v>588</v>
      </c>
    </row>
    <row r="13" spans="2:3" x14ac:dyDescent="0.35">
      <c r="B13" s="117" t="s">
        <v>576</v>
      </c>
      <c r="C13" t="s">
        <v>589</v>
      </c>
    </row>
    <row r="14" spans="2:3" x14ac:dyDescent="0.35">
      <c r="B14" s="117" t="s">
        <v>635</v>
      </c>
      <c r="C14" t="s">
        <v>636</v>
      </c>
    </row>
    <row r="15" spans="2:3" x14ac:dyDescent="0.35">
      <c r="B15" s="117" t="s">
        <v>333</v>
      </c>
      <c r="C15" t="s">
        <v>590</v>
      </c>
    </row>
    <row r="16" spans="2:3" x14ac:dyDescent="0.35">
      <c r="B16" s="117" t="s">
        <v>334</v>
      </c>
      <c r="C16" t="s">
        <v>591</v>
      </c>
    </row>
    <row r="17" spans="2:3" x14ac:dyDescent="0.35">
      <c r="B17" s="117" t="s">
        <v>336</v>
      </c>
      <c r="C17" t="s">
        <v>592</v>
      </c>
    </row>
    <row r="18" spans="2:3" x14ac:dyDescent="0.35">
      <c r="B18" s="117" t="s">
        <v>371</v>
      </c>
      <c r="C18" t="s">
        <v>593</v>
      </c>
    </row>
    <row r="19" spans="2:3" x14ac:dyDescent="0.35">
      <c r="B19" s="117" t="s">
        <v>372</v>
      </c>
      <c r="C19" t="s">
        <v>594</v>
      </c>
    </row>
    <row r="20" spans="2:3" x14ac:dyDescent="0.35">
      <c r="B20" s="117" t="s">
        <v>373</v>
      </c>
      <c r="C20" t="s">
        <v>595</v>
      </c>
    </row>
    <row r="21" spans="2:3" x14ac:dyDescent="0.35">
      <c r="B21" s="117" t="s">
        <v>374</v>
      </c>
      <c r="C21" t="s">
        <v>596</v>
      </c>
    </row>
    <row r="22" spans="2:3" x14ac:dyDescent="0.35">
      <c r="B22" s="117" t="s">
        <v>335</v>
      </c>
      <c r="C22" t="s">
        <v>597</v>
      </c>
    </row>
    <row r="23" spans="2:3" x14ac:dyDescent="0.35">
      <c r="B23" s="117" t="s">
        <v>577</v>
      </c>
      <c r="C23" t="s">
        <v>598</v>
      </c>
    </row>
    <row r="24" spans="2:3" x14ac:dyDescent="0.35">
      <c r="B24" s="117" t="s">
        <v>578</v>
      </c>
      <c r="C24" t="s">
        <v>599</v>
      </c>
    </row>
    <row r="25" spans="2:3" x14ac:dyDescent="0.35">
      <c r="B25" s="117" t="s">
        <v>579</v>
      </c>
      <c r="C25" t="s">
        <v>600</v>
      </c>
    </row>
    <row r="26" spans="2:3" x14ac:dyDescent="0.35">
      <c r="B26" s="117" t="s">
        <v>580</v>
      </c>
      <c r="C26" t="s">
        <v>601</v>
      </c>
    </row>
    <row r="27" spans="2:3" x14ac:dyDescent="0.35">
      <c r="B27" s="117" t="s">
        <v>581</v>
      </c>
      <c r="C27" t="s">
        <v>602</v>
      </c>
    </row>
    <row r="28" spans="2:3" x14ac:dyDescent="0.35">
      <c r="B28" s="117" t="s">
        <v>582</v>
      </c>
      <c r="C28" t="s">
        <v>603</v>
      </c>
    </row>
    <row r="29" spans="2:3" x14ac:dyDescent="0.35">
      <c r="B29" s="117" t="s">
        <v>583</v>
      </c>
      <c r="C29" t="s">
        <v>585</v>
      </c>
    </row>
    <row r="30" spans="2:3" x14ac:dyDescent="0.35">
      <c r="B30" s="117" t="s">
        <v>584</v>
      </c>
      <c r="C30" t="s">
        <v>586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B2:Z64"/>
  <sheetViews>
    <sheetView showGridLines="0" view="pageBreakPreview" zoomScale="85" zoomScaleNormal="70" zoomScaleSheetLayoutView="85" workbookViewId="0">
      <pane ySplit="4" topLeftCell="A28" activePane="bottomLeft" state="frozen"/>
      <selection activeCell="X23" sqref="X23"/>
      <selection pane="bottomLeft" activeCell="X23" sqref="X23"/>
    </sheetView>
  </sheetViews>
  <sheetFormatPr defaultRowHeight="17.25" x14ac:dyDescent="0.35"/>
  <cols>
    <col min="1" max="1" width="2.375" customWidth="1"/>
    <col min="2" max="18" width="13.375" customWidth="1"/>
    <col min="19" max="19" width="11.25" customWidth="1"/>
    <col min="20" max="23" width="10.125" customWidth="1"/>
    <col min="26" max="26" width="10.625" bestFit="1" customWidth="1"/>
    <col min="27" max="27" width="10.25" customWidth="1"/>
    <col min="28" max="28" width="10.625" customWidth="1"/>
  </cols>
  <sheetData>
    <row r="2" spans="2:26" ht="30.75" x14ac:dyDescent="0.6">
      <c r="B2" s="1" t="s">
        <v>420</v>
      </c>
      <c r="R2" s="362" t="str">
        <f>IF(SUM($P$8:$P$23)&lt;&gt;0,"This scenario requires a pipeline.","This scenario does not require a pipeline.")</f>
        <v>This scenario requires a pipeline.</v>
      </c>
      <c r="X2" s="195"/>
      <c r="Y2" s="193">
        <v>5.6000000000000001E-2</v>
      </c>
      <c r="Z2" s="194" t="e">
        <f>Y2/X2</f>
        <v>#DIV/0!</v>
      </c>
    </row>
    <row r="4" spans="2:26" ht="21.75" x14ac:dyDescent="0.45">
      <c r="B4" s="432" t="s">
        <v>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</row>
    <row r="5" spans="2:26" ht="18" thickBot="1" x14ac:dyDescent="0.4">
      <c r="B5" s="2"/>
      <c r="C5" s="75"/>
      <c r="D5" s="184"/>
      <c r="E5" s="184"/>
      <c r="F5" s="184"/>
      <c r="G5" s="184"/>
      <c r="H5" s="184"/>
      <c r="I5" s="184"/>
      <c r="J5" s="184"/>
      <c r="K5" s="184"/>
      <c r="L5" s="184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6" ht="19.5" customHeight="1" x14ac:dyDescent="0.4">
      <c r="B6" s="458" t="s">
        <v>548</v>
      </c>
      <c r="C6" s="446" t="s">
        <v>435</v>
      </c>
      <c r="D6" s="447"/>
      <c r="E6" s="447"/>
      <c r="F6" s="446" t="s">
        <v>550</v>
      </c>
      <c r="G6" s="451"/>
      <c r="H6" s="446" t="s">
        <v>436</v>
      </c>
      <c r="I6" s="447"/>
      <c r="J6" s="446" t="s">
        <v>551</v>
      </c>
      <c r="K6" s="451"/>
      <c r="L6" s="446" t="s">
        <v>557</v>
      </c>
      <c r="M6" s="447"/>
      <c r="N6" s="447"/>
      <c r="O6" s="447"/>
      <c r="P6" s="451"/>
      <c r="Q6" s="462" t="s">
        <v>553</v>
      </c>
      <c r="R6" s="463"/>
    </row>
    <row r="7" spans="2:26" ht="52.5" thickBot="1" x14ac:dyDescent="0.4">
      <c r="B7" s="459"/>
      <c r="C7" s="15" t="s">
        <v>456</v>
      </c>
      <c r="D7" s="16" t="s">
        <v>425</v>
      </c>
      <c r="E7" s="16" t="s">
        <v>20</v>
      </c>
      <c r="F7" s="15" t="s">
        <v>2</v>
      </c>
      <c r="G7" s="16" t="s">
        <v>538</v>
      </c>
      <c r="H7" s="15" t="s">
        <v>457</v>
      </c>
      <c r="I7" s="16" t="s">
        <v>409</v>
      </c>
      <c r="J7" s="15" t="s">
        <v>552</v>
      </c>
      <c r="K7" s="16" t="s">
        <v>267</v>
      </c>
      <c r="L7" s="15" t="s">
        <v>539</v>
      </c>
      <c r="M7" s="16" t="s">
        <v>453</v>
      </c>
      <c r="N7" s="16" t="s">
        <v>107</v>
      </c>
      <c r="O7" s="16" t="s">
        <v>106</v>
      </c>
      <c r="P7" s="17" t="s">
        <v>328</v>
      </c>
      <c r="Q7" s="15" t="s">
        <v>457</v>
      </c>
      <c r="R7" s="240" t="s">
        <v>409</v>
      </c>
      <c r="S7" s="275" t="s">
        <v>465</v>
      </c>
      <c r="T7" s="275" t="s">
        <v>455</v>
      </c>
      <c r="U7" s="275" t="s">
        <v>437</v>
      </c>
      <c r="V7" s="275"/>
      <c r="W7" s="161"/>
      <c r="X7" s="162"/>
      <c r="Z7" s="196"/>
    </row>
    <row r="8" spans="2:26" x14ac:dyDescent="0.35">
      <c r="B8" s="9">
        <v>2015</v>
      </c>
      <c r="C8" s="5">
        <f>RefTables!D23+RefTables!$F$49*RefTables!$F$57/1000</f>
        <v>157.12752906068812</v>
      </c>
      <c r="D8" s="110">
        <f>-Inputs_SupplyCurve!AH29/1000</f>
        <v>-8.0169925080334483</v>
      </c>
      <c r="E8" s="110">
        <f>-(Inputs_SupplyCurve!AI29+Inputs_SupplyCurve!AJ29)/1000-RefTables!D284</f>
        <v>-7.1691640119538391</v>
      </c>
      <c r="F8" s="5">
        <f>RefTables!F79/1000</f>
        <v>85.720249999999993</v>
      </c>
      <c r="G8" s="3">
        <f>RefTables!$F$127/1000</f>
        <v>36.795041666666663</v>
      </c>
      <c r="H8" s="237">
        <f t="shared" ref="H8:H23" si="0">SUM(F8:G8)-SUM(C8:E8)</f>
        <v>-19.426080874034199</v>
      </c>
      <c r="I8" s="262">
        <f t="shared" ref="I8:I23" si="1">SUM(C8:E8)/SUM(F8:G8)</f>
        <v>1.158560458941629</v>
      </c>
      <c r="J8" s="342">
        <f>MAX(-H8,0)</f>
        <v>19.426080874034199</v>
      </c>
      <c r="K8" s="345">
        <f>Inputs_JanElectric!H16+UPDATES!K10</f>
        <v>14.10284</v>
      </c>
      <c r="L8" s="5">
        <f>RefTables!$F$126/1000</f>
        <v>18.940624999999997</v>
      </c>
      <c r="M8" s="3">
        <f>RefTables!$F$125/1000</f>
        <v>12.191666666666666</v>
      </c>
      <c r="N8" s="325">
        <f>BalancingMeasures!$N$10*T8</f>
        <v>0.5776</v>
      </c>
      <c r="O8" s="4">
        <f>BalancingMeasures!$N$9*U8</f>
        <v>3.5840000000000001</v>
      </c>
      <c r="P8" s="6"/>
      <c r="Q8" s="241">
        <f t="shared" ref="Q8:Q23" si="2">SUM(L8:P8)-SUM(J8:K8)</f>
        <v>1.764970792632468</v>
      </c>
      <c r="R8" s="242">
        <f t="shared" ref="R8:R23" si="3">SUM(J8:K8)/SUM(L8:P8)</f>
        <v>0.94999217401974989</v>
      </c>
      <c r="S8" s="107"/>
      <c r="T8" s="107">
        <v>760</v>
      </c>
      <c r="U8" s="107">
        <v>3584</v>
      </c>
      <c r="V8" s="107"/>
      <c r="W8" s="158"/>
      <c r="X8" s="159"/>
      <c r="Y8" s="158"/>
      <c r="Z8" s="197"/>
    </row>
    <row r="9" spans="2:26" x14ac:dyDescent="0.35">
      <c r="B9" s="10">
        <v>2016</v>
      </c>
      <c r="C9" s="7">
        <f>RefTables!D24+RefTables!$F$49*RefTables!$F$57/1000</f>
        <v>159.85216975606758</v>
      </c>
      <c r="D9" s="111">
        <f>-Inputs_SupplyCurve!AH30/1000</f>
        <v>-10.495713831921673</v>
      </c>
      <c r="E9" s="111">
        <f>-(Inputs_SupplyCurve!AI30+Inputs_SupplyCurve!AJ30)/1000-RefTables!D285</f>
        <v>-8.1933302993758161</v>
      </c>
      <c r="F9" s="7">
        <f>RefTables!$F$80/1000</f>
        <v>99.970249999999993</v>
      </c>
      <c r="G9" s="4">
        <f>RefTables!$F$127/1000</f>
        <v>36.795041666666663</v>
      </c>
      <c r="H9" s="238">
        <f t="shared" si="0"/>
        <v>-4.3978339581034334</v>
      </c>
      <c r="I9" s="263">
        <f t="shared" si="1"/>
        <v>1.032156067555664</v>
      </c>
      <c r="J9" s="343">
        <f t="shared" ref="J9:J23" si="4">MAX(-H9,0)</f>
        <v>4.3978339581034334</v>
      </c>
      <c r="K9" s="346">
        <f>Inputs_JanElectric!H17+UPDATES!K11</f>
        <v>14.10284</v>
      </c>
      <c r="L9" s="7">
        <f>RefTables!$F$126/1000</f>
        <v>18.940624999999997</v>
      </c>
      <c r="M9" s="4">
        <f>RefTables!$F$125/1000</f>
        <v>12.191666666666666</v>
      </c>
      <c r="N9" s="325"/>
      <c r="O9" s="4"/>
      <c r="P9" s="8"/>
      <c r="Q9" s="238">
        <f t="shared" si="2"/>
        <v>12.63161770856323</v>
      </c>
      <c r="R9" s="243">
        <f t="shared" si="3"/>
        <v>0.59425994578844643</v>
      </c>
      <c r="S9" s="107"/>
      <c r="T9" s="107"/>
      <c r="U9" s="107"/>
      <c r="V9" s="107"/>
      <c r="W9" s="158"/>
      <c r="X9" s="159"/>
      <c r="Y9" s="158"/>
      <c r="Z9" s="197"/>
    </row>
    <row r="10" spans="2:26" x14ac:dyDescent="0.35">
      <c r="B10" s="10">
        <v>2017</v>
      </c>
      <c r="C10" s="7">
        <f>RefTables!D25+RefTables!$F$49*RefTables!$F$57/1000</f>
        <v>162.43792427380353</v>
      </c>
      <c r="D10" s="111">
        <f>-Inputs_SupplyCurve!AH31/1000</f>
        <v>-12.588996988686558</v>
      </c>
      <c r="E10" s="111">
        <f>-(Inputs_SupplyCurve!AI31+Inputs_SupplyCurve!AJ31)/1000-RefTables!D286</f>
        <v>-9.2174965867977932</v>
      </c>
      <c r="F10" s="7">
        <f>RefTables!$F$80/1000</f>
        <v>99.970249999999993</v>
      </c>
      <c r="G10" s="4">
        <f>RefTables!$F$127/1000</f>
        <v>36.795041666666663</v>
      </c>
      <c r="H10" s="238">
        <f t="shared" si="0"/>
        <v>-3.8661390316525512</v>
      </c>
      <c r="I10" s="263">
        <f t="shared" si="1"/>
        <v>1.0282684223792347</v>
      </c>
      <c r="J10" s="343">
        <f t="shared" si="4"/>
        <v>3.8661390316525512</v>
      </c>
      <c r="K10" s="346">
        <f>Inputs_JanElectric!H18+UPDATES!K12</f>
        <v>12.459070000000001</v>
      </c>
      <c r="L10" s="7">
        <f>RefTables!$F$126/1000</f>
        <v>18.940624999999997</v>
      </c>
      <c r="M10" s="4">
        <f>RefTables!$F$125/1000</f>
        <v>12.191666666666666</v>
      </c>
      <c r="N10" s="325"/>
      <c r="O10" s="4"/>
      <c r="P10" s="8"/>
      <c r="Q10" s="238">
        <f t="shared" si="2"/>
        <v>14.807082635014112</v>
      </c>
      <c r="R10" s="277">
        <f t="shared" si="3"/>
        <v>0.52438186068814041</v>
      </c>
      <c r="S10" s="107"/>
      <c r="T10" s="107"/>
      <c r="U10" s="107"/>
      <c r="V10" s="107"/>
      <c r="W10" s="158"/>
      <c r="X10" s="159"/>
      <c r="Y10" s="158"/>
      <c r="Z10" s="197"/>
    </row>
    <row r="11" spans="2:26" x14ac:dyDescent="0.35">
      <c r="B11" s="10">
        <v>2018</v>
      </c>
      <c r="C11" s="7">
        <f>RefTables!D26+RefTables!$F$49*RefTables!$F$57/1000</f>
        <v>165.218866784326</v>
      </c>
      <c r="D11" s="111">
        <f>-Inputs_SupplyCurve!AH32/1000</f>
        <v>-14.554759197462396</v>
      </c>
      <c r="E11" s="111">
        <f>-(Inputs_SupplyCurve!AI32+Inputs_SupplyCurve!AJ32)/1000-RefTables!D287</f>
        <v>-10.24166287421977</v>
      </c>
      <c r="F11" s="7">
        <f>RefTables!$F$80/1000</f>
        <v>99.970249999999993</v>
      </c>
      <c r="G11" s="4">
        <f>RefTables!$F$127/1000</f>
        <v>36.795041666666663</v>
      </c>
      <c r="H11" s="238">
        <f t="shared" si="0"/>
        <v>-3.6571530459771679</v>
      </c>
      <c r="I11" s="263">
        <f t="shared" si="1"/>
        <v>1.0267403593514839</v>
      </c>
      <c r="J11" s="343">
        <f t="shared" si="4"/>
        <v>3.6571530459771679</v>
      </c>
      <c r="K11" s="346">
        <f>Inputs_JanElectric!H19+UPDATES!K13</f>
        <v>22.573169999999998</v>
      </c>
      <c r="L11" s="7">
        <f>RefTables!$F$126/1000</f>
        <v>18.940624999999997</v>
      </c>
      <c r="M11" s="4">
        <f>RefTables!$F$125/1000</f>
        <v>12.191666666666666</v>
      </c>
      <c r="N11" s="325"/>
      <c r="O11" s="4"/>
      <c r="P11" s="8"/>
      <c r="Q11" s="238">
        <f t="shared" si="2"/>
        <v>4.9019686206894981</v>
      </c>
      <c r="R11" s="277">
        <f t="shared" si="3"/>
        <v>0.84254391956830998</v>
      </c>
      <c r="S11" s="107"/>
      <c r="T11" s="107"/>
      <c r="U11" s="107"/>
      <c r="V11" s="107"/>
      <c r="W11" s="158"/>
      <c r="X11" s="159"/>
      <c r="Y11" s="158"/>
      <c r="Z11" s="197"/>
    </row>
    <row r="12" spans="2:26" x14ac:dyDescent="0.35">
      <c r="B12" s="10">
        <v>2019</v>
      </c>
      <c r="C12" s="7">
        <f>RefTables!D27+RefTables!$F$49*RefTables!$F$57/1000</f>
        <v>167.74355386487682</v>
      </c>
      <c r="D12" s="111">
        <f>-Inputs_SupplyCurve!AH33/1000</f>
        <v>-16.523571745239565</v>
      </c>
      <c r="E12" s="111">
        <f>-(Inputs_SupplyCurve!AI33+Inputs_SupplyCurve!AJ33)/1000-RefTables!D288</f>
        <v>-11.265829161641747</v>
      </c>
      <c r="F12" s="7">
        <f>RefTables!$F$80/1000</f>
        <v>99.970249999999993</v>
      </c>
      <c r="G12" s="4">
        <f>RefTables!$F$127/1000</f>
        <v>36.795041666666663</v>
      </c>
      <c r="H12" s="238">
        <f t="shared" si="0"/>
        <v>-3.1888612913288625</v>
      </c>
      <c r="I12" s="263">
        <f t="shared" si="1"/>
        <v>1.0233163052735701</v>
      </c>
      <c r="J12" s="343">
        <f t="shared" si="4"/>
        <v>3.1888612913288625</v>
      </c>
      <c r="K12" s="346">
        <f>Inputs_JanElectric!H20+UPDATES!K14</f>
        <v>17.88702</v>
      </c>
      <c r="L12" s="7">
        <f>RefTables!$F$126/1000</f>
        <v>18.940624999999997</v>
      </c>
      <c r="M12" s="4">
        <f>RefTables!$F$125/1000</f>
        <v>12.191666666666666</v>
      </c>
      <c r="N12" s="325"/>
      <c r="O12" s="4"/>
      <c r="P12" s="8"/>
      <c r="Q12" s="238">
        <f t="shared" si="2"/>
        <v>10.056410375337801</v>
      </c>
      <c r="R12" s="243">
        <f t="shared" si="3"/>
        <v>0.67697815236309133</v>
      </c>
      <c r="S12" s="107"/>
      <c r="T12" s="107"/>
      <c r="U12" s="107"/>
      <c r="V12" s="107"/>
      <c r="W12" s="158"/>
      <c r="X12" s="159"/>
      <c r="Y12" s="160"/>
      <c r="Z12" s="158"/>
    </row>
    <row r="13" spans="2:26" x14ac:dyDescent="0.35">
      <c r="B13" s="10">
        <v>2020</v>
      </c>
      <c r="C13" s="7">
        <f>RefTables!D28+RefTables!$F$49*RefTables!$F$57/1000</f>
        <v>168.56469967420119</v>
      </c>
      <c r="D13" s="111">
        <f>-Inputs_SupplyCurve!AH34/1000</f>
        <v>-18.536560434815215</v>
      </c>
      <c r="E13" s="111">
        <f>-(Inputs_SupplyCurve!AI34+Inputs_SupplyCurve!AJ34)/1000-RefTables!D289</f>
        <v>-12.289995449063724</v>
      </c>
      <c r="F13" s="7">
        <f>RefTables!$F$80/1000</f>
        <v>99.970249999999993</v>
      </c>
      <c r="G13" s="4">
        <f>RefTables!$F$127/1000</f>
        <v>36.795041666666663</v>
      </c>
      <c r="H13" s="238">
        <f t="shared" si="0"/>
        <v>-0.97285212365559914</v>
      </c>
      <c r="I13" s="263">
        <f t="shared" si="1"/>
        <v>1.0071132968884144</v>
      </c>
      <c r="J13" s="343">
        <f t="shared" si="4"/>
        <v>0.97285212365559914</v>
      </c>
      <c r="K13" s="346">
        <f>Inputs_JanElectric!H21+UPDATES!K15</f>
        <v>53.381320000000002</v>
      </c>
      <c r="L13" s="7">
        <f>RefTables!$F$126/1000</f>
        <v>18.940624999999997</v>
      </c>
      <c r="M13" s="4">
        <f>RefTables!$F$125/1000</f>
        <v>12.191666666666666</v>
      </c>
      <c r="N13" s="4"/>
      <c r="O13" s="4"/>
      <c r="P13" s="8">
        <f>BalancingMeasures!$N$15*$S13</f>
        <v>29.166666666666664</v>
      </c>
      <c r="Q13" s="238">
        <f t="shared" si="2"/>
        <v>5.94478620967773</v>
      </c>
      <c r="R13" s="243">
        <f t="shared" si="3"/>
        <v>0.90141146092748592</v>
      </c>
      <c r="S13" s="107">
        <v>7</v>
      </c>
      <c r="T13" s="107"/>
      <c r="U13" s="107"/>
      <c r="V13" s="107"/>
      <c r="W13" s="158"/>
      <c r="X13" s="159"/>
      <c r="Y13" s="158"/>
      <c r="Z13" s="158"/>
    </row>
    <row r="14" spans="2:26" x14ac:dyDescent="0.35">
      <c r="B14" s="10">
        <v>2021</v>
      </c>
      <c r="C14" s="7">
        <f>RefTables!D29+RefTables!$F$49*RefTables!$F$57/1000</f>
        <v>169.38995121257219</v>
      </c>
      <c r="D14" s="111">
        <f>-Inputs_SupplyCurve!AH35/1000</f>
        <v>-20.22341347859831</v>
      </c>
      <c r="E14" s="111">
        <f>-(Inputs_SupplyCurve!AI35+Inputs_SupplyCurve!AJ35)/1000-RefTables!D290</f>
        <v>-13.127680341605966</v>
      </c>
      <c r="F14" s="7">
        <f>RefTables!$F$80/1000</f>
        <v>99.970249999999993</v>
      </c>
      <c r="G14" s="4">
        <f>RefTables!$F$127/1000</f>
        <v>36.795041666666663</v>
      </c>
      <c r="H14" s="238">
        <f t="shared" si="0"/>
        <v>0.72643427429875373</v>
      </c>
      <c r="I14" s="263">
        <f t="shared" si="1"/>
        <v>0.99468846031441027</v>
      </c>
      <c r="J14" s="343">
        <f t="shared" si="4"/>
        <v>0</v>
      </c>
      <c r="K14" s="346">
        <f>Inputs_JanElectric!H22+UPDATES!K16</f>
        <v>51.171991791044775</v>
      </c>
      <c r="L14" s="7">
        <f>RefTables!$F$126/1000</f>
        <v>18.940624999999997</v>
      </c>
      <c r="M14" s="4">
        <f>RefTables!$F$125/1000</f>
        <v>12.191666666666666</v>
      </c>
      <c r="N14" s="4"/>
      <c r="O14" s="4"/>
      <c r="P14" s="8">
        <f>BalancingMeasures!$N$15*$S14</f>
        <v>29.166666666666664</v>
      </c>
      <c r="Q14" s="238">
        <f t="shared" si="2"/>
        <v>9.1269665422885566</v>
      </c>
      <c r="R14" s="243">
        <f t="shared" si="3"/>
        <v>0.84863807278668757</v>
      </c>
      <c r="S14" s="107">
        <v>7</v>
      </c>
      <c r="T14" s="107"/>
      <c r="U14" s="107"/>
      <c r="V14" s="107"/>
      <c r="W14" s="158"/>
      <c r="X14" s="159"/>
      <c r="Y14" s="158"/>
      <c r="Z14" s="158"/>
    </row>
    <row r="15" spans="2:26" x14ac:dyDescent="0.35">
      <c r="B15" s="10">
        <v>2022</v>
      </c>
      <c r="C15" s="7">
        <f>RefTables!D30+RefTables!$F$49*RefTables!$F$57/1000</f>
        <v>170.21932900863504</v>
      </c>
      <c r="D15" s="111">
        <f>-Inputs_SupplyCurve!AH36/1000</f>
        <v>-21.90951365234281</v>
      </c>
      <c r="E15" s="111">
        <f>-(Inputs_SupplyCurve!AI36+Inputs_SupplyCurve!AJ36)/1000-RefTables!D291</f>
        <v>-13.965365234148209</v>
      </c>
      <c r="F15" s="7">
        <f>RefTables!$F$80/1000</f>
        <v>99.970249999999993</v>
      </c>
      <c r="G15" s="4">
        <f>RefTables!$F$127/1000</f>
        <v>36.795041666666663</v>
      </c>
      <c r="H15" s="238">
        <f t="shared" si="0"/>
        <v>2.4208415445226308</v>
      </c>
      <c r="I15" s="263">
        <f t="shared" si="1"/>
        <v>0.98229929893014911</v>
      </c>
      <c r="J15" s="343">
        <f t="shared" si="4"/>
        <v>0</v>
      </c>
      <c r="K15" s="346">
        <f>Inputs_JanElectric!H23+UPDATES!K17</f>
        <v>50.488733582089544</v>
      </c>
      <c r="L15" s="7">
        <f>RefTables!$F$126/1000</f>
        <v>18.940624999999997</v>
      </c>
      <c r="M15" s="4">
        <f>RefTables!$F$125/1000</f>
        <v>12.191666666666666</v>
      </c>
      <c r="N15" s="4"/>
      <c r="O15" s="4"/>
      <c r="P15" s="8">
        <f>BalancingMeasures!$N$15*$S15</f>
        <v>29.166666666666664</v>
      </c>
      <c r="Q15" s="238">
        <f t="shared" si="2"/>
        <v>9.810224751243787</v>
      </c>
      <c r="R15" s="243">
        <f t="shared" si="3"/>
        <v>0.83730689513718048</v>
      </c>
      <c r="S15" s="107">
        <v>7</v>
      </c>
      <c r="T15" s="107"/>
      <c r="U15" s="107"/>
      <c r="V15" s="107"/>
      <c r="W15" s="158"/>
      <c r="X15" s="159"/>
      <c r="Y15" s="158"/>
      <c r="Z15" s="158"/>
    </row>
    <row r="16" spans="2:26" x14ac:dyDescent="0.35">
      <c r="B16" s="10">
        <v>2023</v>
      </c>
      <c r="C16" s="7">
        <f>RefTables!D31+RefTables!$F$49*RefTables!$F$57/1000</f>
        <v>171.0528536936782</v>
      </c>
      <c r="D16" s="111">
        <f>-Inputs_SupplyCurve!AH37/1000</f>
        <v>-23.182898839076685</v>
      </c>
      <c r="E16" s="111">
        <f>-(Inputs_SupplyCurve!AI37+Inputs_SupplyCurve!AJ37)/1000-RefTables!D292</f>
        <v>-14.803050126690451</v>
      </c>
      <c r="F16" s="7">
        <f>RefTables!$F$80/1000</f>
        <v>99.970249999999993</v>
      </c>
      <c r="G16" s="4">
        <f>RefTables!$F$127/1000</f>
        <v>36.795041666666663</v>
      </c>
      <c r="H16" s="238">
        <f t="shared" si="0"/>
        <v>3.6983869387555615</v>
      </c>
      <c r="I16" s="263">
        <f t="shared" si="1"/>
        <v>0.97295814680986814</v>
      </c>
      <c r="J16" s="343">
        <f t="shared" si="4"/>
        <v>0</v>
      </c>
      <c r="K16" s="346">
        <f>Inputs_JanElectric!H24+UPDATES!K18</f>
        <v>49.709705373134327</v>
      </c>
      <c r="L16" s="7">
        <f>RefTables!$F$126/1000</f>
        <v>18.940624999999997</v>
      </c>
      <c r="M16" s="4">
        <f>RefTables!$F$125/1000</f>
        <v>12.191666666666666</v>
      </c>
      <c r="N16" s="4"/>
      <c r="O16" s="4"/>
      <c r="P16" s="8">
        <f>BalancingMeasures!$N$15*$S16</f>
        <v>29.166666666666664</v>
      </c>
      <c r="Q16" s="238">
        <f t="shared" si="2"/>
        <v>10.589252960199005</v>
      </c>
      <c r="R16" s="243">
        <f t="shared" si="3"/>
        <v>0.82438746451204858</v>
      </c>
      <c r="S16" s="107">
        <v>7</v>
      </c>
      <c r="T16" s="107"/>
      <c r="U16" s="107"/>
      <c r="V16" s="107"/>
      <c r="W16" s="158"/>
      <c r="X16" s="159"/>
      <c r="Y16" s="158"/>
      <c r="Z16" s="158"/>
    </row>
    <row r="17" spans="2:26" x14ac:dyDescent="0.35">
      <c r="B17" s="10">
        <v>2024</v>
      </c>
      <c r="C17" s="7">
        <f>RefTables!D32+RefTables!$F$49*RefTables!$F$57/1000</f>
        <v>171.89054600214658</v>
      </c>
      <c r="D17" s="111">
        <f>-Inputs_SupplyCurve!AH38/1000</f>
        <v>-24.565436162716658</v>
      </c>
      <c r="E17" s="111">
        <f>-(Inputs_SupplyCurve!AI38+Inputs_SupplyCurve!AJ38)/1000-RefTables!D293</f>
        <v>-15.640735019232693</v>
      </c>
      <c r="F17" s="7">
        <f>RefTables!$F$80/1000</f>
        <v>99.970249999999993</v>
      </c>
      <c r="G17" s="4">
        <f>RefTables!$F$127/1000</f>
        <v>36.795041666666663</v>
      </c>
      <c r="H17" s="238">
        <f t="shared" si="0"/>
        <v>5.080916846469421</v>
      </c>
      <c r="I17" s="263">
        <f t="shared" si="1"/>
        <v>0.96284936927672438</v>
      </c>
      <c r="J17" s="343">
        <f t="shared" si="4"/>
        <v>0</v>
      </c>
      <c r="K17" s="346">
        <f>Inputs_JanElectric!H25+UPDATES!K19</f>
        <v>51.424237164179104</v>
      </c>
      <c r="L17" s="7">
        <f>RefTables!$F$126/1000</f>
        <v>18.940624999999997</v>
      </c>
      <c r="M17" s="4">
        <f>RefTables!$F$125/1000</f>
        <v>12.191666666666666</v>
      </c>
      <c r="N17" s="4"/>
      <c r="O17" s="4"/>
      <c r="P17" s="8">
        <f>BalancingMeasures!$N$15*$S17</f>
        <v>29.166666666666664</v>
      </c>
      <c r="Q17" s="238">
        <f t="shared" si="2"/>
        <v>8.8747211691542276</v>
      </c>
      <c r="R17" s="243">
        <f t="shared" si="3"/>
        <v>0.85282131873498268</v>
      </c>
      <c r="S17" s="107">
        <v>7</v>
      </c>
      <c r="T17" s="107"/>
      <c r="U17" s="107"/>
      <c r="V17" s="107"/>
      <c r="W17" s="158"/>
      <c r="X17" s="159"/>
      <c r="Y17" s="158"/>
      <c r="Z17" s="158"/>
    </row>
    <row r="18" spans="2:26" x14ac:dyDescent="0.35">
      <c r="B18" s="10">
        <v>2025</v>
      </c>
      <c r="C18" s="7">
        <f>RefTables!D33+RefTables!$F$49*RefTables!$F$57/1000</f>
        <v>172.73242677215728</v>
      </c>
      <c r="D18" s="111">
        <f>-Inputs_SupplyCurve!AH39/1000</f>
        <v>-25.886859714250889</v>
      </c>
      <c r="E18" s="111">
        <f>-(Inputs_SupplyCurve!AI39+Inputs_SupplyCurve!AJ39)/1000-RefTables!D294</f>
        <v>-16.478419911774935</v>
      </c>
      <c r="F18" s="7">
        <f>RefTables!$F$80/1000</f>
        <v>99.970249999999993</v>
      </c>
      <c r="G18" s="4">
        <f>RefTables!$F$127/1000</f>
        <v>36.795041666666663</v>
      </c>
      <c r="H18" s="238">
        <f t="shared" si="0"/>
        <v>6.3981445205351974</v>
      </c>
      <c r="I18" s="263">
        <f t="shared" si="1"/>
        <v>0.95321806839611634</v>
      </c>
      <c r="J18" s="343">
        <f t="shared" si="4"/>
        <v>0</v>
      </c>
      <c r="K18" s="346">
        <f>Inputs_JanElectric!H26+UPDATES!K20</f>
        <v>50.608168955223881</v>
      </c>
      <c r="L18" s="7">
        <f>RefTables!$F$126/1000</f>
        <v>18.940624999999997</v>
      </c>
      <c r="M18" s="4">
        <f>RefTables!$F$125/1000</f>
        <v>12.191666666666666</v>
      </c>
      <c r="N18" s="4"/>
      <c r="O18" s="4"/>
      <c r="P18" s="8">
        <f>BalancingMeasures!$N$15*$S18</f>
        <v>29.166666666666664</v>
      </c>
      <c r="Q18" s="238">
        <f t="shared" si="2"/>
        <v>9.6907893781094501</v>
      </c>
      <c r="R18" s="243">
        <f t="shared" si="3"/>
        <v>0.839287615475235</v>
      </c>
      <c r="S18" s="107">
        <v>7</v>
      </c>
      <c r="T18" s="107"/>
      <c r="U18" s="107"/>
      <c r="V18" s="107"/>
      <c r="W18" s="158"/>
      <c r="X18" s="159"/>
      <c r="Y18" s="159"/>
      <c r="Z18" s="158"/>
    </row>
    <row r="19" spans="2:26" x14ac:dyDescent="0.35">
      <c r="B19" s="10">
        <v>2026</v>
      </c>
      <c r="C19" s="7">
        <f>RefTables!D34+RefTables!$F$49*RefTables!$F$57/1000</f>
        <v>173.57851694601806</v>
      </c>
      <c r="D19" s="111">
        <f>-Inputs_SupplyCurve!AH40/1000</f>
        <v>-27.18265446536002</v>
      </c>
      <c r="E19" s="111">
        <f>-(Inputs_SupplyCurve!AI40+Inputs_SupplyCurve!AJ40)/1000-RefTables!D295</f>
        <v>-17.316104804317177</v>
      </c>
      <c r="F19" s="7">
        <f>RefTables!$F$80/1000</f>
        <v>99.970249999999993</v>
      </c>
      <c r="G19" s="4">
        <f>RefTables!$F$127/1000</f>
        <v>36.795041666666663</v>
      </c>
      <c r="H19" s="238">
        <f t="shared" si="0"/>
        <v>7.6855339903258084</v>
      </c>
      <c r="I19" s="263">
        <f t="shared" si="1"/>
        <v>0.94380493839725432</v>
      </c>
      <c r="J19" s="343">
        <f t="shared" si="4"/>
        <v>0</v>
      </c>
      <c r="K19" s="346">
        <f>Inputs_JanElectric!H27+UPDATES!K21</f>
        <v>50.068170746268656</v>
      </c>
      <c r="L19" s="7">
        <f>RefTables!$F$126/1000</f>
        <v>18.940624999999997</v>
      </c>
      <c r="M19" s="4">
        <f>RefTables!$F$125/1000</f>
        <v>12.191666666666666</v>
      </c>
      <c r="N19" s="4"/>
      <c r="O19" s="4"/>
      <c r="P19" s="8">
        <f>BalancingMeasures!$N$15*$S19</f>
        <v>29.166666666666664</v>
      </c>
      <c r="Q19" s="238">
        <f t="shared" si="2"/>
        <v>10.230787587064675</v>
      </c>
      <c r="R19" s="243">
        <f t="shared" si="3"/>
        <v>0.83033226659557258</v>
      </c>
      <c r="S19" s="107">
        <v>7</v>
      </c>
      <c r="T19" s="107"/>
      <c r="U19" s="107"/>
      <c r="V19" s="107"/>
      <c r="W19" s="158"/>
      <c r="X19" s="159"/>
      <c r="Y19" s="159"/>
      <c r="Z19" s="158"/>
    </row>
    <row r="20" spans="2:26" x14ac:dyDescent="0.35">
      <c r="B20" s="10">
        <v>2027</v>
      </c>
      <c r="C20" s="7">
        <f>RefTables!D35+RefTables!$F$49*RefTables!$F$57/1000</f>
        <v>174.42883757074813</v>
      </c>
      <c r="D20" s="111">
        <f>-Inputs_SupplyCurve!AH41/1000</f>
        <v>-28.304050867980358</v>
      </c>
      <c r="E20" s="111">
        <f>-(Inputs_SupplyCurve!AI41+Inputs_SupplyCurve!AJ41)/1000-RefTables!D296</f>
        <v>-18.15378969685942</v>
      </c>
      <c r="F20" s="7">
        <f>RefTables!$F$80/1000</f>
        <v>99.970249999999993</v>
      </c>
      <c r="G20" s="4">
        <f>RefTables!$F$127/1000</f>
        <v>36.795041666666663</v>
      </c>
      <c r="H20" s="238">
        <f t="shared" si="0"/>
        <v>8.7942946607582968</v>
      </c>
      <c r="I20" s="263">
        <f t="shared" si="1"/>
        <v>0.93569790585324575</v>
      </c>
      <c r="J20" s="343">
        <f t="shared" si="4"/>
        <v>0</v>
      </c>
      <c r="K20" s="346">
        <f>Inputs_JanElectric!H28+UPDATES!K22</f>
        <v>48.318492537313432</v>
      </c>
      <c r="L20" s="7">
        <f>RefTables!$F$126/1000</f>
        <v>18.940624999999997</v>
      </c>
      <c r="M20" s="4">
        <f>RefTables!$F$125/1000</f>
        <v>12.191666666666666</v>
      </c>
      <c r="N20" s="4"/>
      <c r="O20" s="4"/>
      <c r="P20" s="8">
        <f>BalancingMeasures!$N$15*$S20</f>
        <v>29.166666666666664</v>
      </c>
      <c r="Q20" s="238">
        <f t="shared" si="2"/>
        <v>11.980465796019899</v>
      </c>
      <c r="R20" s="243">
        <f t="shared" si="3"/>
        <v>0.80131554296855767</v>
      </c>
      <c r="S20" s="107">
        <v>7</v>
      </c>
      <c r="T20" s="107"/>
      <c r="U20" s="107"/>
      <c r="V20" s="107"/>
      <c r="W20" s="158"/>
      <c r="X20" s="159"/>
      <c r="Y20" s="159"/>
      <c r="Z20" s="158"/>
    </row>
    <row r="21" spans="2:26" x14ac:dyDescent="0.35">
      <c r="B21" s="10">
        <v>2028</v>
      </c>
      <c r="C21" s="7">
        <f>RefTables!D36+RefTables!$F$49*RefTables!$F$57/1000</f>
        <v>175.28340979860184</v>
      </c>
      <c r="D21" s="111">
        <f>-Inputs_SupplyCurve!AH42/1000</f>
        <v>-29.448208457740751</v>
      </c>
      <c r="E21" s="111">
        <f>-(Inputs_SupplyCurve!AI42+Inputs_SupplyCurve!AJ42)/1000-RefTables!D297</f>
        <v>-18.991474589401662</v>
      </c>
      <c r="F21" s="7">
        <f>RefTables!$F$80/1000</f>
        <v>99.970249999999993</v>
      </c>
      <c r="G21" s="4">
        <f>RefTables!$F$127/1000</f>
        <v>36.795041666666663</v>
      </c>
      <c r="H21" s="238">
        <f t="shared" si="0"/>
        <v>9.9215649152072274</v>
      </c>
      <c r="I21" s="263">
        <f t="shared" si="1"/>
        <v>0.92745553499502842</v>
      </c>
      <c r="J21" s="343">
        <f t="shared" si="4"/>
        <v>0</v>
      </c>
      <c r="K21" s="346">
        <f>Inputs_JanElectric!H29+UPDATES!K23</f>
        <v>50.080174328358218</v>
      </c>
      <c r="L21" s="7">
        <f>RefTables!$F$126/1000</f>
        <v>18.940624999999997</v>
      </c>
      <c r="M21" s="4">
        <f>RefTables!$F$125/1000</f>
        <v>12.191666666666666</v>
      </c>
      <c r="N21" s="4"/>
      <c r="O21" s="4"/>
      <c r="P21" s="8">
        <f>BalancingMeasures!$N$15*$S21</f>
        <v>29.166666666666664</v>
      </c>
      <c r="Q21" s="238">
        <f t="shared" si="2"/>
        <v>10.218784004975113</v>
      </c>
      <c r="R21" s="243">
        <f t="shared" si="3"/>
        <v>0.83053133441401161</v>
      </c>
      <c r="S21" s="107">
        <v>7</v>
      </c>
      <c r="T21" s="107"/>
      <c r="U21" s="107"/>
      <c r="V21" s="107"/>
      <c r="W21" s="158"/>
      <c r="X21" s="159"/>
      <c r="Y21" s="159"/>
      <c r="Z21" s="158"/>
    </row>
    <row r="22" spans="2:26" x14ac:dyDescent="0.35">
      <c r="B22" s="10">
        <v>2029</v>
      </c>
      <c r="C22" s="7">
        <f>RefTables!D37+RefTables!$F$49*RefTables!$F$57/1000</f>
        <v>176.14225488759482</v>
      </c>
      <c r="D22" s="111">
        <f>-Inputs_SupplyCurve!AH43/1000</f>
        <v>-30.452912216197198</v>
      </c>
      <c r="E22" s="111">
        <f>-(Inputs_SupplyCurve!AI43+Inputs_SupplyCurve!AJ43)/1000-RefTables!D298</f>
        <v>-19.829159481943904</v>
      </c>
      <c r="F22" s="7">
        <f>RefTables!$F$80/1000</f>
        <v>99.970249999999993</v>
      </c>
      <c r="G22" s="4">
        <f>RefTables!$F$127/1000</f>
        <v>36.795041666666663</v>
      </c>
      <c r="H22" s="238">
        <f t="shared" si="0"/>
        <v>10.905108477212949</v>
      </c>
      <c r="I22" s="263">
        <f t="shared" si="1"/>
        <v>0.92026406448361475</v>
      </c>
      <c r="J22" s="343">
        <f t="shared" si="4"/>
        <v>0</v>
      </c>
      <c r="K22" s="346">
        <f>Inputs_JanElectric!H30+UPDATES!K24</f>
        <v>53.32017611940298</v>
      </c>
      <c r="L22" s="7">
        <f>RefTables!$F$126/1000</f>
        <v>18.940624999999997</v>
      </c>
      <c r="M22" s="4">
        <f>RefTables!$F$125/1000</f>
        <v>12.191666666666666</v>
      </c>
      <c r="N22" s="4"/>
      <c r="O22" s="4"/>
      <c r="P22" s="8">
        <f>BalancingMeasures!$N$15*$S22</f>
        <v>29.166666666666664</v>
      </c>
      <c r="Q22" s="238">
        <f t="shared" si="2"/>
        <v>6.9787822139303515</v>
      </c>
      <c r="R22" s="243">
        <f t="shared" si="3"/>
        <v>0.8842636356112229</v>
      </c>
      <c r="S22" s="107">
        <v>7</v>
      </c>
      <c r="T22" s="107"/>
      <c r="U22" s="107"/>
      <c r="V22" s="107"/>
      <c r="W22" s="158"/>
      <c r="X22" s="159"/>
      <c r="Y22" s="159"/>
      <c r="Z22" s="158"/>
    </row>
    <row r="23" spans="2:26" ht="18" thickBot="1" x14ac:dyDescent="0.4">
      <c r="B23" s="11">
        <v>2030</v>
      </c>
      <c r="C23" s="12">
        <f>RefTables!D38+RefTables!$F$49*RefTables!$F$57/1000</f>
        <v>177.00539420203276</v>
      </c>
      <c r="D23" s="112">
        <f>-Inputs_SupplyCurve!AH44/1000</f>
        <v>-31.418873807243386</v>
      </c>
      <c r="E23" s="112">
        <f>-(Inputs_SupplyCurve!AI44+Inputs_SupplyCurve!AJ44)/1000-RefTables!D299</f>
        <v>-20.666844374486139</v>
      </c>
      <c r="F23" s="12">
        <f>RefTables!$F$80/1000</f>
        <v>99.970249999999993</v>
      </c>
      <c r="G23" s="13">
        <f>RefTables!$F$127/1000</f>
        <v>36.795041666666663</v>
      </c>
      <c r="H23" s="239">
        <f t="shared" si="0"/>
        <v>11.845615646363427</v>
      </c>
      <c r="I23" s="264">
        <f t="shared" si="1"/>
        <v>0.91338726732485365</v>
      </c>
      <c r="J23" s="344">
        <f t="shared" si="4"/>
        <v>0</v>
      </c>
      <c r="K23" s="347">
        <f>Inputs_JanElectric!H31+UPDATES!K25</f>
        <v>49.000177910447768</v>
      </c>
      <c r="L23" s="12">
        <f>RefTables!$F$126/1000</f>
        <v>18.940624999999997</v>
      </c>
      <c r="M23" s="13">
        <f>RefTables!$F$125/1000</f>
        <v>12.191666666666666</v>
      </c>
      <c r="N23" s="13"/>
      <c r="O23" s="13"/>
      <c r="P23" s="14">
        <f>BalancingMeasures!$N$15*$S23</f>
        <v>29.166666666666664</v>
      </c>
      <c r="Q23" s="239">
        <f t="shared" si="2"/>
        <v>11.298780422885564</v>
      </c>
      <c r="R23" s="252">
        <f t="shared" si="3"/>
        <v>0.81262063665468687</v>
      </c>
      <c r="S23" s="107">
        <v>7</v>
      </c>
      <c r="T23" s="107"/>
      <c r="U23" s="107"/>
      <c r="V23" s="107"/>
      <c r="W23" s="158"/>
      <c r="X23" s="159"/>
      <c r="Y23" s="159"/>
      <c r="Z23" s="158"/>
    </row>
    <row r="25" spans="2:26" ht="21.75" x14ac:dyDescent="0.45">
      <c r="B25" s="440" t="s">
        <v>3</v>
      </c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185"/>
      <c r="T25" s="185"/>
    </row>
    <row r="26" spans="2:26" ht="18" thickBot="1" x14ac:dyDescent="0.4">
      <c r="B26" s="2"/>
      <c r="C26" s="2"/>
      <c r="D26" s="184"/>
      <c r="E26" s="184"/>
      <c r="F26" s="75"/>
      <c r="G26" s="2"/>
      <c r="H26" s="2"/>
      <c r="I26" s="2"/>
    </row>
    <row r="27" spans="2:26" ht="19.5" customHeight="1" x14ac:dyDescent="0.4">
      <c r="B27" s="460" t="s">
        <v>549</v>
      </c>
      <c r="C27" s="454" t="s">
        <v>435</v>
      </c>
      <c r="D27" s="455"/>
      <c r="E27" s="455"/>
      <c r="F27" s="437" t="s">
        <v>551</v>
      </c>
      <c r="G27" s="438"/>
      <c r="H27" s="433" t="s">
        <v>1</v>
      </c>
      <c r="J27" s="456" t="s">
        <v>347</v>
      </c>
      <c r="K27" s="452" t="s">
        <v>435</v>
      </c>
      <c r="L27" s="453"/>
      <c r="M27" s="453"/>
      <c r="N27" s="435" t="s">
        <v>551</v>
      </c>
      <c r="O27" s="439"/>
      <c r="P27" s="435" t="s">
        <v>1</v>
      </c>
      <c r="Q27" s="435" t="s">
        <v>559</v>
      </c>
      <c r="R27" s="441"/>
    </row>
    <row r="28" spans="2:26" ht="52.5" customHeight="1" thickBot="1" x14ac:dyDescent="0.4">
      <c r="B28" s="461"/>
      <c r="C28" s="156" t="s">
        <v>456</v>
      </c>
      <c r="D28" s="157" t="s">
        <v>425</v>
      </c>
      <c r="E28" s="157" t="s">
        <v>20</v>
      </c>
      <c r="F28" s="350" t="s">
        <v>267</v>
      </c>
      <c r="G28" s="348" t="s">
        <v>106</v>
      </c>
      <c r="H28" s="434"/>
      <c r="J28" s="457"/>
      <c r="K28" s="154" t="s">
        <v>456</v>
      </c>
      <c r="L28" s="155" t="s">
        <v>425</v>
      </c>
      <c r="M28" s="155" t="s">
        <v>20</v>
      </c>
      <c r="N28" s="351" t="s">
        <v>537</v>
      </c>
      <c r="O28" s="349" t="s">
        <v>106</v>
      </c>
      <c r="P28" s="436"/>
      <c r="Q28" s="154" t="s">
        <v>560</v>
      </c>
      <c r="R28" s="357" t="s">
        <v>558</v>
      </c>
    </row>
    <row r="29" spans="2:26" x14ac:dyDescent="0.35">
      <c r="B29" s="9">
        <v>2015</v>
      </c>
      <c r="C29" s="5">
        <f>RefTables!C23/1000+(RefTables!$F$49*RefTables!$F$57/RefTables!E23)*10^-6</f>
        <v>262.16001363122507</v>
      </c>
      <c r="D29" s="110">
        <f>-Inputs_SupplyCurve!T29*10^-6</f>
        <v>-14.748059417778327</v>
      </c>
      <c r="E29" s="110">
        <f>-(Inputs_SupplyCurve!U29+Inputs_SupplyCurve!V29)*10^-6-RefTables!C284</f>
        <v>-11.961418513571806</v>
      </c>
      <c r="F29" s="342">
        <f>Inputs_AnnualElectric!R16*10^-6+UPDATES!S10</f>
        <v>181.64759999999998</v>
      </c>
      <c r="G29" s="345">
        <f t="shared" ref="G29:G44" si="5">-O8/1000</f>
        <v>-3.5839999999999999E-3</v>
      </c>
      <c r="H29" s="278">
        <f t="shared" ref="H29:H44" si="6">SUM(C29:E29,F29,G29)</f>
        <v>417.0945516998749</v>
      </c>
      <c r="I29" s="77"/>
      <c r="J29" s="9">
        <v>2015</v>
      </c>
      <c r="K29" s="5">
        <f>C29*RefTables!$O139</f>
        <v>13.786087607379818</v>
      </c>
      <c r="L29" s="3">
        <f>D29*RefTables!$O139</f>
        <v>-0.77554939197683359</v>
      </c>
      <c r="M29" s="3">
        <f>E29*RefTables!$O139</f>
        <v>-0.62900959323491168</v>
      </c>
      <c r="N29" s="342">
        <f>Inputs_AnnualElectric!S16*10^-6+UPDATES!O10</f>
        <v>18.312398863440698</v>
      </c>
      <c r="O29" s="345">
        <f>O8*RefTables!I165/1000</f>
        <v>8.7403251841546467E-5</v>
      </c>
      <c r="P29" s="342">
        <f t="shared" ref="P29:P44" si="7">SUM(K29:M29,N29,O29)</f>
        <v>30.694014888860615</v>
      </c>
      <c r="Q29" s="5" t="s">
        <v>561</v>
      </c>
      <c r="R29" s="358" t="s">
        <v>561</v>
      </c>
    </row>
    <row r="30" spans="2:26" x14ac:dyDescent="0.35">
      <c r="B30" s="10">
        <v>2016</v>
      </c>
      <c r="C30" s="7">
        <f>RefTables!C24/1000+(RefTables!$F$49*RefTables!$F$57/RefTables!E24)*10^-6</f>
        <v>266.66263355879875</v>
      </c>
      <c r="D30" s="111">
        <f>-Inputs_SupplyCurve!T30*10^-6</f>
        <v>-19.307915165203109</v>
      </c>
      <c r="E30" s="111">
        <f>-(Inputs_SupplyCurve!U30+Inputs_SupplyCurve!V30)*10^-6-RefTables!C285</f>
        <v>-13.670192586939207</v>
      </c>
      <c r="F30" s="343">
        <f>Inputs_AnnualElectric!R17*10^-6+UPDATES!S11</f>
        <v>185.87756999999999</v>
      </c>
      <c r="G30" s="346">
        <f t="shared" si="5"/>
        <v>0</v>
      </c>
      <c r="H30" s="279">
        <f t="shared" si="6"/>
        <v>419.56209580665643</v>
      </c>
      <c r="I30" s="77"/>
      <c r="J30" s="10">
        <v>2016</v>
      </c>
      <c r="K30" s="7">
        <f>C30*RefTables!$O140</f>
        <v>14.023318260131667</v>
      </c>
      <c r="L30" s="4">
        <f>D30*RefTables!$O140</f>
        <v>-1.0153692539812236</v>
      </c>
      <c r="M30" s="4">
        <f>E30*RefTables!$O140</f>
        <v>-0.71889135258866788</v>
      </c>
      <c r="N30" s="343">
        <f>Inputs_AnnualElectric!S17*10^-6+UPDATES!O11</f>
        <v>18.074542670732768</v>
      </c>
      <c r="O30" s="346">
        <f>O9*RefTables!I166/1000</f>
        <v>0</v>
      </c>
      <c r="P30" s="343">
        <f t="shared" si="7"/>
        <v>30.363600324294545</v>
      </c>
      <c r="Q30" s="7" t="s">
        <v>561</v>
      </c>
      <c r="R30" s="359" t="s">
        <v>561</v>
      </c>
    </row>
    <row r="31" spans="2:26" x14ac:dyDescent="0.35">
      <c r="B31" s="10">
        <v>2017</v>
      </c>
      <c r="C31" s="7">
        <f>RefTables!C25/1000+(RefTables!$F$49*RefTables!$F$57/RefTables!E25)*10^-6</f>
        <v>269.91601236696005</v>
      </c>
      <c r="D31" s="111">
        <f>-Inputs_SupplyCurve!T31*10^-6</f>
        <v>-23.158718860387786</v>
      </c>
      <c r="E31" s="111">
        <f>-(Inputs_SupplyCurve!U31+Inputs_SupplyCurve!V31)*10^-6-RefTables!C286</f>
        <v>-15.378966660306608</v>
      </c>
      <c r="F31" s="343">
        <f>Inputs_AnnualElectric!R18*10^-6+UPDATES!S12</f>
        <v>195.64903999999999</v>
      </c>
      <c r="G31" s="346">
        <f t="shared" si="5"/>
        <v>0</v>
      </c>
      <c r="H31" s="279">
        <f t="shared" si="6"/>
        <v>427.02736684626564</v>
      </c>
      <c r="I31" s="77"/>
      <c r="J31" s="10">
        <v>2017</v>
      </c>
      <c r="K31" s="7">
        <f>C31*RefTables!$O141</f>
        <v>14.194624727085387</v>
      </c>
      <c r="L31" s="4">
        <f>D31*RefTables!$O141</f>
        <v>-1.2178948573690411</v>
      </c>
      <c r="M31" s="4">
        <f>E31*RefTables!$O141</f>
        <v>-0.80876513593652766</v>
      </c>
      <c r="N31" s="343">
        <f>Inputs_AnnualElectric!S18*10^-6+UPDATES!O12</f>
        <v>17.294488825304118</v>
      </c>
      <c r="O31" s="346">
        <f>O10*RefTables!I167/1000</f>
        <v>0</v>
      </c>
      <c r="P31" s="343">
        <f t="shared" si="7"/>
        <v>29.462453559083936</v>
      </c>
      <c r="Q31" s="7" t="s">
        <v>561</v>
      </c>
      <c r="R31" s="359" t="s">
        <v>561</v>
      </c>
    </row>
    <row r="32" spans="2:26" x14ac:dyDescent="0.35">
      <c r="B32" s="10">
        <v>2018</v>
      </c>
      <c r="C32" s="7">
        <f>RefTables!C26/1000+(RefTables!$F$49*RefTables!$F$57/RefTables!E26)*10^-6</f>
        <v>273.65353546042417</v>
      </c>
      <c r="D32" s="111">
        <f>-Inputs_SupplyCurve!T32*10^-6</f>
        <v>-26.774935019651814</v>
      </c>
      <c r="E32" s="111">
        <f>-(Inputs_SupplyCurve!U32+Inputs_SupplyCurve!V32)*10^-6-RefTables!C287</f>
        <v>-17.087740733674007</v>
      </c>
      <c r="F32" s="343">
        <f>Inputs_AnnualElectric!R19*10^-6+UPDATES!S13</f>
        <v>192.23343</v>
      </c>
      <c r="G32" s="346">
        <f t="shared" si="5"/>
        <v>0</v>
      </c>
      <c r="H32" s="279">
        <f t="shared" si="6"/>
        <v>422.02428970709832</v>
      </c>
      <c r="I32" s="77"/>
      <c r="J32" s="10">
        <v>2018</v>
      </c>
      <c r="K32" s="7">
        <f>C32*RefTables!$O142</f>
        <v>14.392299716320712</v>
      </c>
      <c r="L32" s="4">
        <f>D32*RefTables!$O142</f>
        <v>-1.4081780052265034</v>
      </c>
      <c r="M32" s="4">
        <f>E32*RefTables!$O142</f>
        <v>-0.8986980040292043</v>
      </c>
      <c r="N32" s="343">
        <f>Inputs_AnnualElectric!S19*10^-6+UPDATES!O13</f>
        <v>16.274524316650378</v>
      </c>
      <c r="O32" s="346">
        <f>O11*RefTables!I168/1000</f>
        <v>0</v>
      </c>
      <c r="P32" s="343">
        <f t="shared" si="7"/>
        <v>28.359948023715383</v>
      </c>
      <c r="Q32" s="7" t="s">
        <v>561</v>
      </c>
      <c r="R32" s="359" t="s">
        <v>561</v>
      </c>
    </row>
    <row r="33" spans="2:18" x14ac:dyDescent="0.35">
      <c r="B33" s="10">
        <v>2019</v>
      </c>
      <c r="C33" s="7">
        <f>RefTables!C27/1000+(RefTables!$F$49*RefTables!$F$57/RefTables!E27)*10^-6</f>
        <v>277.53709599613234</v>
      </c>
      <c r="D33" s="111">
        <f>-Inputs_SupplyCurve!T33*10^-6</f>
        <v>-30.396762582542703</v>
      </c>
      <c r="E33" s="111">
        <f>-(Inputs_SupplyCurve!U33+Inputs_SupplyCurve!V33)*10^-6-RefTables!C288</f>
        <v>-18.796514807041408</v>
      </c>
      <c r="F33" s="343">
        <f>Inputs_AnnualElectric!R20*10^-6+UPDATES!S14</f>
        <v>195.88964999999999</v>
      </c>
      <c r="G33" s="346">
        <f t="shared" si="5"/>
        <v>0</v>
      </c>
      <c r="H33" s="279">
        <f t="shared" si="6"/>
        <v>424.23346860654823</v>
      </c>
      <c r="I33" s="77"/>
      <c r="J33" s="10">
        <v>2019</v>
      </c>
      <c r="K33" s="7">
        <f>C33*RefTables!$O143</f>
        <v>14.597233580002769</v>
      </c>
      <c r="L33" s="4">
        <f>D33*RefTables!$O143</f>
        <v>-1.5987363487418178</v>
      </c>
      <c r="M33" s="4">
        <f>E33*RefTables!$O143</f>
        <v>-0.98861421080873357</v>
      </c>
      <c r="N33" s="343">
        <f>Inputs_AnnualElectric!S20*10^-6+UPDATES!O14</f>
        <v>16.238152643167997</v>
      </c>
      <c r="O33" s="346">
        <f>O12*RefTables!I169/1000</f>
        <v>0</v>
      </c>
      <c r="P33" s="343">
        <f t="shared" si="7"/>
        <v>28.248035663620215</v>
      </c>
      <c r="Q33" s="7" t="s">
        <v>561</v>
      </c>
      <c r="R33" s="359" t="s">
        <v>561</v>
      </c>
    </row>
    <row r="34" spans="2:18" x14ac:dyDescent="0.35">
      <c r="B34" s="10">
        <v>2020</v>
      </c>
      <c r="C34" s="7">
        <f>RefTables!C28/1000+(RefTables!$F$49*RefTables!$F$57/RefTables!E28)*10^-6</f>
        <v>278.89570810406974</v>
      </c>
      <c r="D34" s="111">
        <f>-Inputs_SupplyCurve!T34*10^-6</f>
        <v>-34.099856575886072</v>
      </c>
      <c r="E34" s="111">
        <f>-(Inputs_SupplyCurve!U34+Inputs_SupplyCurve!V34)*10^-6-RefTables!C289</f>
        <v>-20.505288880408809</v>
      </c>
      <c r="F34" s="343">
        <f>Inputs_AnnualElectric!R21*10^-6+UPDATES!S15</f>
        <v>245.24121</v>
      </c>
      <c r="G34" s="346">
        <f t="shared" si="5"/>
        <v>0</v>
      </c>
      <c r="H34" s="279">
        <f t="shared" si="6"/>
        <v>469.53177264777486</v>
      </c>
      <c r="I34" s="77"/>
      <c r="J34" s="10">
        <v>2020</v>
      </c>
      <c r="K34" s="7">
        <f>C34*RefTables!$O144</f>
        <v>14.669979949578757</v>
      </c>
      <c r="L34" s="4">
        <f>D34*RefTables!$O144</f>
        <v>-1.7936604892646615</v>
      </c>
      <c r="M34" s="4">
        <f>E34*RefTables!$O144</f>
        <v>-1.0785830258229345</v>
      </c>
      <c r="N34" s="343">
        <f>Inputs_AnnualElectric!S21*10^-6+UPDATES!O15</f>
        <v>15.615131260147294</v>
      </c>
      <c r="O34" s="346">
        <f>O13*RefTables!I170/1000</f>
        <v>0</v>
      </c>
      <c r="P34" s="238">
        <f t="shared" si="7"/>
        <v>27.412867694638454</v>
      </c>
      <c r="Q34" s="7">
        <f>RefTables!$F$227</f>
        <v>23.326496260794567</v>
      </c>
      <c r="R34" s="360" t="str">
        <f>IF(P34&lt;=Q34,"Yes","No")</f>
        <v>No</v>
      </c>
    </row>
    <row r="35" spans="2:18" x14ac:dyDescent="0.35">
      <c r="B35" s="10">
        <v>2021</v>
      </c>
      <c r="C35" s="7">
        <f>RefTables!C29/1000+(RefTables!$F$49*RefTables!$F$57/RefTables!E29)*10^-6</f>
        <v>280.26111327254694</v>
      </c>
      <c r="D35" s="111">
        <f>-Inputs_SupplyCurve!T35*10^-6</f>
        <v>-37.20299143522945</v>
      </c>
      <c r="E35" s="111">
        <f>-(Inputs_SupplyCurve!U35+Inputs_SupplyCurve!V35)*10^-6-RefTables!C290</f>
        <v>-21.902927372914633</v>
      </c>
      <c r="F35" s="343">
        <f>Inputs_AnnualElectric!R22*10^-6+UPDATES!S16</f>
        <v>232.08382947761191</v>
      </c>
      <c r="G35" s="346">
        <f t="shared" si="5"/>
        <v>0</v>
      </c>
      <c r="H35" s="279">
        <f t="shared" si="6"/>
        <v>453.2390239420148</v>
      </c>
      <c r="I35" s="77"/>
      <c r="J35" s="10">
        <v>2021</v>
      </c>
      <c r="K35" s="7">
        <f>C35*RefTables!$O145</f>
        <v>14.744523354157211</v>
      </c>
      <c r="L35" s="4">
        <f>D35*RefTables!$O145</f>
        <v>-1.9572475455337592</v>
      </c>
      <c r="M35" s="4">
        <f>E35*RefTables!$O145</f>
        <v>-1.1523119294123763</v>
      </c>
      <c r="N35" s="343">
        <f>Inputs_AnnualElectric!S22*10^-6+UPDATES!O16</f>
        <v>14.755488884890404</v>
      </c>
      <c r="O35" s="346">
        <f>O14*RefTables!I171/1000</f>
        <v>0</v>
      </c>
      <c r="P35" s="343">
        <f t="shared" si="7"/>
        <v>26.390452764101482</v>
      </c>
      <c r="Q35" s="7" t="s">
        <v>561</v>
      </c>
      <c r="R35" s="359" t="s">
        <v>561</v>
      </c>
    </row>
    <row r="36" spans="2:18" x14ac:dyDescent="0.35">
      <c r="B36" s="10">
        <v>2022</v>
      </c>
      <c r="C36" s="7">
        <f>RefTables!C30/1000+(RefTables!$F$49*RefTables!$F$57/RefTables!E30)*10^-6</f>
        <v>281.63334546686644</v>
      </c>
      <c r="D36" s="111">
        <f>-Inputs_SupplyCurve!T36*10^-6</f>
        <v>-40.304741314849821</v>
      </c>
      <c r="E36" s="111">
        <f>-(Inputs_SupplyCurve!U36+Inputs_SupplyCurve!V36)*10^-6-RefTables!C291</f>
        <v>-23.300565865420459</v>
      </c>
      <c r="F36" s="343">
        <f>Inputs_AnnualElectric!R23*10^-6+UPDATES!S17</f>
        <v>211.7991389552239</v>
      </c>
      <c r="G36" s="346">
        <f t="shared" si="5"/>
        <v>0</v>
      </c>
      <c r="H36" s="279">
        <f t="shared" si="6"/>
        <v>429.8271772418201</v>
      </c>
      <c r="I36" s="77"/>
      <c r="J36" s="10">
        <v>2022</v>
      </c>
      <c r="K36" s="7">
        <f>C36*RefTables!$O146</f>
        <v>14.820700159149807</v>
      </c>
      <c r="L36" s="4">
        <f>D36*RefTables!$O146</f>
        <v>-2.1210005691238818</v>
      </c>
      <c r="M36" s="4">
        <f>E36*RefTables!$O146</f>
        <v>-1.2261712108609133</v>
      </c>
      <c r="N36" s="343">
        <f>Inputs_AnnualElectric!S23*10^-6+UPDATES!O17</f>
        <v>13.673657120434488</v>
      </c>
      <c r="O36" s="346">
        <f>O15*RefTables!I172/1000</f>
        <v>0</v>
      </c>
      <c r="P36" s="343">
        <f t="shared" si="7"/>
        <v>25.147185499599502</v>
      </c>
      <c r="Q36" s="7" t="s">
        <v>561</v>
      </c>
      <c r="R36" s="359" t="s">
        <v>561</v>
      </c>
    </row>
    <row r="37" spans="2:18" x14ac:dyDescent="0.35">
      <c r="B37" s="10">
        <v>2023</v>
      </c>
      <c r="C37" s="7">
        <f>RefTables!C31/1000+(RefTables!$F$49*RefTables!$F$57/RefTables!E31)*10^-6</f>
        <v>283.01243882215761</v>
      </c>
      <c r="D37" s="111">
        <f>-Inputs_SupplyCurve!T37*10^-6</f>
        <v>-42.647260704365458</v>
      </c>
      <c r="E37" s="111">
        <f>-(Inputs_SupplyCurve!U37+Inputs_SupplyCurve!V37)*10^-6-RefTables!C292</f>
        <v>-24.698204357926286</v>
      </c>
      <c r="F37" s="343">
        <f>Inputs_AnnualElectric!R24*10^-6+UPDATES!S18</f>
        <v>209.21204843283581</v>
      </c>
      <c r="G37" s="346">
        <f t="shared" si="5"/>
        <v>0</v>
      </c>
      <c r="H37" s="279">
        <f t="shared" si="6"/>
        <v>424.87902219270165</v>
      </c>
      <c r="I37" s="77"/>
      <c r="J37" s="10">
        <v>2023</v>
      </c>
      <c r="K37" s="7">
        <f>C37*RefTables!$O147</f>
        <v>14.898140021790372</v>
      </c>
      <c r="L37" s="4">
        <f>D37*RefTables!$O147</f>
        <v>-2.2450068419737983</v>
      </c>
      <c r="M37" s="4">
        <f>E37*RefTables!$O147</f>
        <v>-1.3001453517115549</v>
      </c>
      <c r="N37" s="343">
        <f>Inputs_AnnualElectric!S24*10^-6+UPDATES!O18</f>
        <v>13.062613370226632</v>
      </c>
      <c r="O37" s="346">
        <f>O16*RefTables!I173/1000</f>
        <v>0</v>
      </c>
      <c r="P37" s="343">
        <f t="shared" si="7"/>
        <v>24.41560119833165</v>
      </c>
      <c r="Q37" s="7" t="s">
        <v>561</v>
      </c>
      <c r="R37" s="359" t="s">
        <v>561</v>
      </c>
    </row>
    <row r="38" spans="2:18" x14ac:dyDescent="0.35">
      <c r="B38" s="10">
        <v>2024</v>
      </c>
      <c r="C38" s="7">
        <f>RefTables!C32/1000+(RefTables!$F$49*RefTables!$F$57/RefTables!E32)*10^-6</f>
        <v>284.39842764422514</v>
      </c>
      <c r="D38" s="111">
        <f>-Inputs_SupplyCurve!T38*10^-6</f>
        <v>-45.190576364933563</v>
      </c>
      <c r="E38" s="111">
        <f>-(Inputs_SupplyCurve!U38+Inputs_SupplyCurve!V38)*10^-6-RefTables!C293</f>
        <v>-26.095842850432113</v>
      </c>
      <c r="F38" s="343">
        <f>Inputs_AnnualElectric!R25*10^-6+UPDATES!S19</f>
        <v>216.04519791044777</v>
      </c>
      <c r="G38" s="346">
        <f t="shared" si="5"/>
        <v>0</v>
      </c>
      <c r="H38" s="279">
        <f t="shared" si="6"/>
        <v>429.15720633930721</v>
      </c>
      <c r="I38" s="77"/>
      <c r="J38" s="10">
        <v>2024</v>
      </c>
      <c r="K38" s="7">
        <f>C38*RefTables!$O148</f>
        <v>14.978332305599096</v>
      </c>
      <c r="L38" s="4">
        <f>D38*RefTables!$O148</f>
        <v>-2.3800394238546407</v>
      </c>
      <c r="M38" s="4">
        <f>E38*RefTables!$O148</f>
        <v>-1.3743824438348697</v>
      </c>
      <c r="N38" s="343">
        <f>Inputs_AnnualElectric!S25*10^-6+UPDATES!O19</f>
        <v>12.239490957066533</v>
      </c>
      <c r="O38" s="346">
        <f>O17*RefTables!I174/1000</f>
        <v>0</v>
      </c>
      <c r="P38" s="343">
        <f t="shared" si="7"/>
        <v>23.463401394976117</v>
      </c>
      <c r="Q38" s="7" t="s">
        <v>561</v>
      </c>
      <c r="R38" s="359" t="s">
        <v>561</v>
      </c>
    </row>
    <row r="39" spans="2:18" x14ac:dyDescent="0.35">
      <c r="B39" s="10">
        <v>2025</v>
      </c>
      <c r="C39" s="7">
        <f>RefTables!C33/1000+(RefTables!$F$49*RefTables!$F$57/RefTables!E33)*10^-6</f>
        <v>285.79134641040304</v>
      </c>
      <c r="D39" s="111">
        <f>-Inputs_SupplyCurve!T39*10^-6</f>
        <v>-47.621467130335922</v>
      </c>
      <c r="E39" s="111">
        <f>-(Inputs_SupplyCurve!U39+Inputs_SupplyCurve!V39)*10^-6-RefTables!C294</f>
        <v>-27.49348134293794</v>
      </c>
      <c r="F39" s="343">
        <f>Inputs_AnnualElectric!R26*10^-6+UPDATES!S20</f>
        <v>212.85914738805968</v>
      </c>
      <c r="G39" s="346">
        <f t="shared" si="5"/>
        <v>0</v>
      </c>
      <c r="H39" s="279">
        <f t="shared" si="6"/>
        <v>423.53554532518888</v>
      </c>
      <c r="I39" s="77"/>
      <c r="J39" s="10">
        <v>2025</v>
      </c>
      <c r="K39" s="7">
        <f>C39*RefTables!$O149</f>
        <v>15.060203172349356</v>
      </c>
      <c r="L39" s="4">
        <f>D39*RefTables!$O149</f>
        <v>-2.5094845570247446</v>
      </c>
      <c r="M39" s="4">
        <f>E39*RefTables!$O149</f>
        <v>-1.4488101901631609</v>
      </c>
      <c r="N39" s="343">
        <f>Inputs_AnnualElectric!S26*10^-6+UPDATES!O20</f>
        <v>11.722835848799321</v>
      </c>
      <c r="O39" s="346">
        <f>O18*RefTables!I175/1000</f>
        <v>0</v>
      </c>
      <c r="P39" s="343">
        <f t="shared" si="7"/>
        <v>22.824744273960768</v>
      </c>
      <c r="Q39" s="7" t="s">
        <v>561</v>
      </c>
      <c r="R39" s="359" t="s">
        <v>561</v>
      </c>
    </row>
    <row r="40" spans="2:18" x14ac:dyDescent="0.35">
      <c r="B40" s="10">
        <v>2026</v>
      </c>
      <c r="C40" s="7">
        <f>RefTables!C34/1000+(RefTables!$F$49*RefTables!$F$57/RefTables!E34)*10^-6</f>
        <v>287.19122977041189</v>
      </c>
      <c r="D40" s="111">
        <f>-Inputs_SupplyCurve!T40*10^-6</f>
        <v>-50.005211154476285</v>
      </c>
      <c r="E40" s="111">
        <f>-(Inputs_SupplyCurve!U40+Inputs_SupplyCurve!V40)*10^-6-RefTables!C295</f>
        <v>-28.891119835443767</v>
      </c>
      <c r="F40" s="343">
        <f>Inputs_AnnualElectric!R27*10^-6+UPDATES!S21</f>
        <v>207.80588686567165</v>
      </c>
      <c r="G40" s="346">
        <f t="shared" si="5"/>
        <v>0</v>
      </c>
      <c r="H40" s="279">
        <f t="shared" si="6"/>
        <v>416.1007856461635</v>
      </c>
      <c r="I40" s="77"/>
      <c r="J40" s="10">
        <v>2026</v>
      </c>
      <c r="K40" s="7">
        <f>C40*RefTables!$O150</f>
        <v>15.1445745280541</v>
      </c>
      <c r="L40" s="4">
        <f>D40*RefTables!$O150</f>
        <v>-2.6369455910107686</v>
      </c>
      <c r="M40" s="4">
        <f>E40*RefTables!$O150</f>
        <v>-1.5235274346525276</v>
      </c>
      <c r="N40" s="343">
        <f>Inputs_AnnualElectric!S27*10^-6+UPDATES!O21</f>
        <v>10.938916934458138</v>
      </c>
      <c r="O40" s="346">
        <f>O19*RefTables!I176/1000</f>
        <v>0</v>
      </c>
      <c r="P40" s="343">
        <f t="shared" si="7"/>
        <v>21.923018436848942</v>
      </c>
      <c r="Q40" s="7" t="s">
        <v>561</v>
      </c>
      <c r="R40" s="359" t="s">
        <v>561</v>
      </c>
    </row>
    <row r="41" spans="2:18" x14ac:dyDescent="0.35">
      <c r="B41" s="10">
        <v>2027</v>
      </c>
      <c r="C41" s="7">
        <f>RefTables!C35/1000+(RefTables!$F$49*RefTables!$F$57/RefTables!E35)*10^-6</f>
        <v>288.59811254722075</v>
      </c>
      <c r="D41" s="111">
        <f>-Inputs_SupplyCurve!T41*10^-6</f>
        <v>-52.068131976736652</v>
      </c>
      <c r="E41" s="111">
        <f>-(Inputs_SupplyCurve!U41+Inputs_SupplyCurve!V41)*10^-6-RefTables!C296</f>
        <v>-30.288758327949594</v>
      </c>
      <c r="F41" s="343">
        <f>Inputs_AnnualElectric!R28*10^-6+UPDATES!S22</f>
        <v>200.85389634328359</v>
      </c>
      <c r="G41" s="346">
        <f t="shared" si="5"/>
        <v>0</v>
      </c>
      <c r="H41" s="279">
        <f t="shared" si="6"/>
        <v>407.09511858581811</v>
      </c>
      <c r="I41" s="77"/>
      <c r="J41" s="10">
        <v>2027</v>
      </c>
      <c r="K41" s="7">
        <f>C41*RefTables!$O151</f>
        <v>15.228800504361317</v>
      </c>
      <c r="L41" s="4">
        <f>D41*RefTables!$O151</f>
        <v>-2.7475411654978781</v>
      </c>
      <c r="M41" s="4">
        <f>E41*RefTables!$O151</f>
        <v>-1.5982830034125213</v>
      </c>
      <c r="N41" s="343">
        <f>Inputs_AnnualElectric!S28*10^-6+UPDATES!O22</f>
        <v>10.344288540341854</v>
      </c>
      <c r="O41" s="346">
        <f>O20*RefTables!I177/1000</f>
        <v>0</v>
      </c>
      <c r="P41" s="343">
        <f t="shared" si="7"/>
        <v>21.22726487579277</v>
      </c>
      <c r="Q41" s="7" t="s">
        <v>561</v>
      </c>
      <c r="R41" s="359" t="s">
        <v>561</v>
      </c>
    </row>
    <row r="42" spans="2:18" x14ac:dyDescent="0.35">
      <c r="B42" s="10">
        <v>2028</v>
      </c>
      <c r="C42" s="7">
        <f>RefTables!C36/1000+(RefTables!$F$49*RefTables!$F$57/RefTables!E36)*10^-6</f>
        <v>290.01202973791362</v>
      </c>
      <c r="D42" s="111">
        <f>-Inputs_SupplyCurve!T42*10^-6</f>
        <v>-54.172924278859867</v>
      </c>
      <c r="E42" s="111">
        <f>-(Inputs_SupplyCurve!U42+Inputs_SupplyCurve!V42)*10^-6-RefTables!C297</f>
        <v>-31.686396820455421</v>
      </c>
      <c r="F42" s="343">
        <f>Inputs_AnnualElectric!R29*10^-6+UPDATES!S23</f>
        <v>209.34117582089553</v>
      </c>
      <c r="G42" s="346">
        <f t="shared" si="5"/>
        <v>0</v>
      </c>
      <c r="H42" s="279">
        <f t="shared" si="6"/>
        <v>413.49388445949387</v>
      </c>
      <c r="I42" s="77"/>
      <c r="J42" s="10">
        <v>2028</v>
      </c>
      <c r="K42" s="7">
        <f>C42*RefTables!$O152</f>
        <v>15.322748535150183</v>
      </c>
      <c r="L42" s="4">
        <f>D42*RefTables!$O152</f>
        <v>-2.8622195323719866</v>
      </c>
      <c r="M42" s="4">
        <f>E42*RefTables!$O152</f>
        <v>-1.6741467273050423</v>
      </c>
      <c r="N42" s="343">
        <f>Inputs_AnnualElectric!S29*10^-6+UPDATES!O23</f>
        <v>9.7902965673884239</v>
      </c>
      <c r="O42" s="346">
        <f>O21*RefTables!I178/1000</f>
        <v>0</v>
      </c>
      <c r="P42" s="343">
        <f t="shared" si="7"/>
        <v>20.576678842861579</v>
      </c>
      <c r="Q42" s="7" t="s">
        <v>561</v>
      </c>
      <c r="R42" s="359" t="s">
        <v>561</v>
      </c>
    </row>
    <row r="43" spans="2:18" x14ac:dyDescent="0.35">
      <c r="B43" s="10">
        <v>2029</v>
      </c>
      <c r="C43" s="7">
        <f>RefTables!C37/1000+(RefTables!$F$49*RefTables!$F$57/RefTables!E37)*10^-6</f>
        <v>291.43301651455999</v>
      </c>
      <c r="D43" s="111">
        <f>-Inputs_SupplyCurve!T43*10^-6</f>
        <v>-56.02117731291635</v>
      </c>
      <c r="E43" s="111">
        <f>-(Inputs_SupplyCurve!U43+Inputs_SupplyCurve!V43)*10^-6-RefTables!C298</f>
        <v>-33.084035312961248</v>
      </c>
      <c r="F43" s="343">
        <f>Inputs_AnnualElectric!R30*10^-6+UPDATES!S24</f>
        <v>208.28489529850745</v>
      </c>
      <c r="G43" s="346">
        <f t="shared" si="5"/>
        <v>0</v>
      </c>
      <c r="H43" s="279">
        <f t="shared" si="6"/>
        <v>410.61269918718983</v>
      </c>
      <c r="I43" s="77"/>
      <c r="J43" s="10">
        <v>2029</v>
      </c>
      <c r="K43" s="7">
        <f>C43*RefTables!$O153</f>
        <v>15.419922484150035</v>
      </c>
      <c r="L43" s="4">
        <f>D43*RefTables!$O153</f>
        <v>-2.9641192407341301</v>
      </c>
      <c r="M43" s="4">
        <f>E43*RefTables!$O153</f>
        <v>-1.7504991921986219</v>
      </c>
      <c r="N43" s="343">
        <f>Inputs_AnnualElectric!S30*10^-6+UPDATES!O24</f>
        <v>9.448407002698886</v>
      </c>
      <c r="O43" s="346">
        <f>O22*RefTables!I179/1000</f>
        <v>0</v>
      </c>
      <c r="P43" s="343">
        <f t="shared" si="7"/>
        <v>20.153711053916169</v>
      </c>
      <c r="Q43" s="7" t="s">
        <v>561</v>
      </c>
      <c r="R43" s="359" t="s">
        <v>561</v>
      </c>
    </row>
    <row r="44" spans="2:18" ht="19.5" customHeight="1" thickBot="1" x14ac:dyDescent="0.4">
      <c r="B44" s="11">
        <v>2030</v>
      </c>
      <c r="C44" s="12">
        <f>RefTables!C38/1000+(RefTables!$F$49*RefTables!$F$57/RefTables!E38)*10^-6</f>
        <v>292.86110822508959</v>
      </c>
      <c r="D44" s="112">
        <f>-Inputs_SupplyCurve!T44*10^-6</f>
        <v>-57.798160255804937</v>
      </c>
      <c r="E44" s="112">
        <f>-(Inputs_SupplyCurve!U44+Inputs_SupplyCurve!V44)*10^-6-RefTables!C299</f>
        <v>-34.481673805467061</v>
      </c>
      <c r="F44" s="344">
        <f>Inputs_AnnualElectric!R31*10^-6+UPDATES!S25</f>
        <v>192.91982477611941</v>
      </c>
      <c r="G44" s="347">
        <f t="shared" si="5"/>
        <v>0</v>
      </c>
      <c r="H44" s="280">
        <f t="shared" si="6"/>
        <v>393.50109893993704</v>
      </c>
      <c r="I44" s="77"/>
      <c r="J44" s="11">
        <v>2030</v>
      </c>
      <c r="K44" s="12">
        <f>C44*RefTables!$O154</f>
        <v>15.520942419121136</v>
      </c>
      <c r="L44" s="13">
        <f>D44*RefTables!$O154</f>
        <v>-3.0631650706313573</v>
      </c>
      <c r="M44" s="13">
        <f>E44*RefTables!$O154</f>
        <v>-1.8274467268567207</v>
      </c>
      <c r="N44" s="344">
        <f>Inputs_AnnualElectric!S31*10^-6+UPDATES!O25</f>
        <v>8.5330868456383513</v>
      </c>
      <c r="O44" s="347">
        <f>O23*RefTables!I180/1000</f>
        <v>0</v>
      </c>
      <c r="P44" s="239">
        <f t="shared" si="7"/>
        <v>19.163417467271408</v>
      </c>
      <c r="Q44" s="12">
        <f>RefTables!$G$227</f>
        <v>18.676721162166132</v>
      </c>
      <c r="R44" s="361" t="str">
        <f>IF(P44&lt;=Q44,"Yes","No")</f>
        <v>No</v>
      </c>
    </row>
    <row r="45" spans="2:18" ht="18" thickBot="1" x14ac:dyDescent="0.4">
      <c r="C45" s="184"/>
      <c r="D45" s="184"/>
      <c r="E45" s="184"/>
      <c r="F45" s="184"/>
      <c r="H45" s="184"/>
    </row>
    <row r="46" spans="2:18" ht="19.5" customHeight="1" x14ac:dyDescent="0.4">
      <c r="B46" s="444" t="s">
        <v>266</v>
      </c>
      <c r="C46" s="448" t="s">
        <v>438</v>
      </c>
      <c r="D46" s="449"/>
      <c r="E46" s="449"/>
      <c r="F46" s="449"/>
      <c r="G46" s="449"/>
      <c r="H46" s="449"/>
      <c r="I46" s="449"/>
      <c r="J46" s="449"/>
      <c r="K46" s="449"/>
      <c r="L46" s="450"/>
      <c r="M46" s="448" t="s">
        <v>439</v>
      </c>
      <c r="N46" s="449"/>
      <c r="O46" s="449"/>
      <c r="P46" s="450"/>
      <c r="Q46" s="442" t="s">
        <v>426</v>
      </c>
    </row>
    <row r="47" spans="2:18" ht="52.5" thickBot="1" x14ac:dyDescent="0.4">
      <c r="B47" s="445"/>
      <c r="C47" s="151" t="s">
        <v>456</v>
      </c>
      <c r="D47" s="152" t="s">
        <v>425</v>
      </c>
      <c r="E47" s="152" t="s">
        <v>424</v>
      </c>
      <c r="F47" s="152" t="s">
        <v>349</v>
      </c>
      <c r="G47" s="152" t="s">
        <v>329</v>
      </c>
      <c r="H47" s="152" t="s">
        <v>328</v>
      </c>
      <c r="I47" s="152" t="s">
        <v>267</v>
      </c>
      <c r="J47" s="152" t="s">
        <v>107</v>
      </c>
      <c r="K47" s="152" t="s">
        <v>106</v>
      </c>
      <c r="L47" s="152" t="s">
        <v>1</v>
      </c>
      <c r="M47" s="151" t="s">
        <v>20</v>
      </c>
      <c r="N47" s="152" t="s">
        <v>429</v>
      </c>
      <c r="O47" s="152" t="s">
        <v>430</v>
      </c>
      <c r="P47" s="153" t="s">
        <v>1</v>
      </c>
      <c r="Q47" s="443"/>
    </row>
    <row r="48" spans="2:18" x14ac:dyDescent="0.35">
      <c r="B48" s="9">
        <v>2015</v>
      </c>
      <c r="C48" s="286">
        <f>(C29+SUM(D29:E29))*RefTables!$F189</f>
        <v>873.07298178946098</v>
      </c>
      <c r="D48" s="283">
        <f>Inputs_SupplyCurve!C29</f>
        <v>137.59396913152196</v>
      </c>
      <c r="E48" s="283">
        <f>Inputs_SupplyCurve!F29</f>
        <v>506.56634289154363</v>
      </c>
      <c r="F48" s="283">
        <f>Inputs_SupplyCurve!G29</f>
        <v>97.003539999999987</v>
      </c>
      <c r="G48" s="283">
        <f>SUMIFS(PriceSpikes!$P$7:$P$198,PriceSpikes!$B$7:$B$198,B48)</f>
        <v>0</v>
      </c>
      <c r="H48" s="283">
        <f>BalancingMeasures!$M$15*S8*10^-6</f>
        <v>0</v>
      </c>
      <c r="I48" s="283">
        <f>Inputs_AnnualElectric!T16+UPDATES!AA10</f>
        <v>2278.974980737858</v>
      </c>
      <c r="J48" s="283">
        <f>T8*BalancingMeasures!$I$10*10^-6</f>
        <v>1.008</v>
      </c>
      <c r="K48" s="283">
        <f>U8*BalancingMeasures!$J$9/1000</f>
        <v>10.752000000000001</v>
      </c>
      <c r="L48" s="283">
        <f t="shared" ref="L48:L63" si="8">SUM(C48:K48)</f>
        <v>3904.9718145503844</v>
      </c>
      <c r="M48" s="286">
        <f>Inputs_SupplyCurve!D29</f>
        <v>0</v>
      </c>
      <c r="N48" s="283">
        <f>Inputs_SupplyCurve!E29+UPDATES!W10</f>
        <v>2.4828138586706974</v>
      </c>
      <c r="O48" s="283"/>
      <c r="P48" s="18">
        <f>SUM(M48:O48)</f>
        <v>2.4828138586706974</v>
      </c>
      <c r="Q48" s="289">
        <f>L48-S1_BaseRefNGNoHydro!L48+P48</f>
        <v>99.498301125989499</v>
      </c>
      <c r="R48" s="83"/>
    </row>
    <row r="49" spans="2:18" x14ac:dyDescent="0.35">
      <c r="B49" s="10">
        <v>2016</v>
      </c>
      <c r="C49" s="287">
        <f>(C30+SUM(D30:E30))*RefTables!$F190</f>
        <v>948.23694098414694</v>
      </c>
      <c r="D49" s="284">
        <f>Inputs_SupplyCurve!C30</f>
        <v>178.98250934786873</v>
      </c>
      <c r="E49" s="284">
        <f>Inputs_SupplyCurve!F30</f>
        <v>579.70239486493267</v>
      </c>
      <c r="F49" s="284">
        <f>Inputs_SupplyCurve!G30</f>
        <v>0</v>
      </c>
      <c r="G49" s="284">
        <f>SUMIFS(PriceSpikes!$P$7:$P$198,PriceSpikes!$B$7:$B$198,B49)</f>
        <v>-4.3339300554779019E-2</v>
      </c>
      <c r="H49" s="284">
        <f>BalancingMeasures!$M$15*S9*10^-6</f>
        <v>0</v>
      </c>
      <c r="I49" s="284">
        <f>Inputs_AnnualElectric!T17+UPDATES!AA11</f>
        <v>2355.5497214036604</v>
      </c>
      <c r="J49" s="284">
        <f>T9*BalancingMeasures!$I$10*10^-6</f>
        <v>0</v>
      </c>
      <c r="K49" s="284">
        <f>U9*BalancingMeasures!$J$9/1000</f>
        <v>0</v>
      </c>
      <c r="L49" s="284">
        <f t="shared" si="8"/>
        <v>4062.4282273000535</v>
      </c>
      <c r="M49" s="287">
        <f>Inputs_SupplyCurve!D30</f>
        <v>0</v>
      </c>
      <c r="N49" s="284">
        <f>Inputs_SupplyCurve!E30+UPDATES!W11</f>
        <v>17.377055890278655</v>
      </c>
      <c r="O49" s="284"/>
      <c r="P49" s="19">
        <f t="shared" ref="P49:P63" si="9">SUM(M49:O49)</f>
        <v>17.377055890278655</v>
      </c>
      <c r="Q49" s="290">
        <f>L49-S1_BaseRefNGNoHydro!L49+P49</f>
        <v>72.941837890252657</v>
      </c>
      <c r="R49" s="83"/>
    </row>
    <row r="50" spans="2:18" x14ac:dyDescent="0.35">
      <c r="B50" s="10">
        <v>2017</v>
      </c>
      <c r="C50" s="287">
        <f>(C31+SUM(D31:E31))*RefTables!$F191</f>
        <v>937.94250277600668</v>
      </c>
      <c r="D50" s="284">
        <f>Inputs_SupplyCurve!C31</f>
        <v>214.12493968163085</v>
      </c>
      <c r="E50" s="284">
        <f>Inputs_SupplyCurve!F31</f>
        <v>650.65893492244231</v>
      </c>
      <c r="F50" s="284">
        <f>Inputs_SupplyCurve!G31</f>
        <v>0</v>
      </c>
      <c r="G50" s="284">
        <f>SUMIFS(PriceSpikes!$P$7:$P$198,PriceSpikes!$B$7:$B$198,B50)</f>
        <v>0</v>
      </c>
      <c r="H50" s="284">
        <f>BalancingMeasures!$M$15*S10*10^-6</f>
        <v>0</v>
      </c>
      <c r="I50" s="284">
        <f>Inputs_AnnualElectric!T18+UPDATES!AA12</f>
        <v>2187.2807222372253</v>
      </c>
      <c r="J50" s="284">
        <f>T10*BalancingMeasures!$I$10*10^-6</f>
        <v>0</v>
      </c>
      <c r="K50" s="284">
        <f>U10*BalancingMeasures!$J$9/1000</f>
        <v>0</v>
      </c>
      <c r="L50" s="284">
        <f t="shared" si="8"/>
        <v>3990.0070996173054</v>
      </c>
      <c r="M50" s="287">
        <f>Inputs_SupplyCurve!D31</f>
        <v>0</v>
      </c>
      <c r="N50" s="284">
        <f>Inputs_SupplyCurve!E31+UPDATES!W12</f>
        <v>26.037302452602074</v>
      </c>
      <c r="O50" s="284"/>
      <c r="P50" s="19">
        <f t="shared" si="9"/>
        <v>26.037302452602074</v>
      </c>
      <c r="Q50" s="290">
        <f>L50-S1_BaseRefNGNoHydro!L50+P50</f>
        <v>-69.830674020813561</v>
      </c>
      <c r="R50" s="83"/>
    </row>
    <row r="51" spans="2:18" x14ac:dyDescent="0.35">
      <c r="B51" s="10">
        <v>2018</v>
      </c>
      <c r="C51" s="287">
        <f>(C32+SUM(D32:E32))*RefTables!$F192</f>
        <v>980.27859019368577</v>
      </c>
      <c r="D51" s="284">
        <f>Inputs_SupplyCurve!C32</f>
        <v>245.70120814380834</v>
      </c>
      <c r="E51" s="284">
        <f>Inputs_SupplyCurve!F32</f>
        <v>714.18419669052332</v>
      </c>
      <c r="F51" s="284">
        <f>Inputs_SupplyCurve!G32</f>
        <v>0</v>
      </c>
      <c r="G51" s="284">
        <f>SUMIFS(PriceSpikes!$P$7:$P$198,PriceSpikes!$B$7:$B$198,B51)</f>
        <v>0</v>
      </c>
      <c r="H51" s="284">
        <f>BalancingMeasures!$M$15*S11*10^-6</f>
        <v>0</v>
      </c>
      <c r="I51" s="284">
        <f>Inputs_AnnualElectric!T19+UPDATES!AA13</f>
        <v>2202.5524095737524</v>
      </c>
      <c r="J51" s="284">
        <f>T11*BalancingMeasures!$I$10*10^-6</f>
        <v>0</v>
      </c>
      <c r="K51" s="284">
        <f>U11*BalancingMeasures!$J$9/1000</f>
        <v>0</v>
      </c>
      <c r="L51" s="284">
        <f t="shared" si="8"/>
        <v>4142.7164046017697</v>
      </c>
      <c r="M51" s="287">
        <f>Inputs_SupplyCurve!D32</f>
        <v>0</v>
      </c>
      <c r="N51" s="284">
        <f>Inputs_SupplyCurve!E32+UPDATES!W13</f>
        <v>34.77844164671346</v>
      </c>
      <c r="O51" s="284"/>
      <c r="P51" s="19">
        <f t="shared" si="9"/>
        <v>34.77844164671346</v>
      </c>
      <c r="Q51" s="290">
        <f>L51-S1_BaseRefNGNoHydro!L51+P51</f>
        <v>-123.15186391794346</v>
      </c>
      <c r="R51" s="83"/>
    </row>
    <row r="52" spans="2:18" x14ac:dyDescent="0.35">
      <c r="B52" s="10">
        <v>2019</v>
      </c>
      <c r="C52" s="287">
        <f>(C33+SUM(D33:E33))*RefTables!$F193</f>
        <v>945.67487912134766</v>
      </c>
      <c r="D52" s="284">
        <f>Inputs_SupplyCurve!C33</f>
        <v>276.60939981847474</v>
      </c>
      <c r="E52" s="284">
        <f>Inputs_SupplyCurve!F33</f>
        <v>769.66986592833086</v>
      </c>
      <c r="F52" s="284">
        <f>Inputs_SupplyCurve!G33</f>
        <v>0</v>
      </c>
      <c r="G52" s="284">
        <f>SUMIFS(PriceSpikes!$P$7:$P$198,PriceSpikes!$B$7:$B$198,B52)</f>
        <v>0</v>
      </c>
      <c r="H52" s="284">
        <f>BalancingMeasures!$M$15*S12*10^-6</f>
        <v>0</v>
      </c>
      <c r="I52" s="284">
        <f>Inputs_AnnualElectric!T20+UPDATES!AA14</f>
        <v>2150.7097156152954</v>
      </c>
      <c r="J52" s="284">
        <f>T12*BalancingMeasures!$I$10*10^-6</f>
        <v>0</v>
      </c>
      <c r="K52" s="284">
        <f>U12*BalancingMeasures!$J$9/1000</f>
        <v>0</v>
      </c>
      <c r="L52" s="284">
        <f t="shared" si="8"/>
        <v>4142.6638604834488</v>
      </c>
      <c r="M52" s="287">
        <f>Inputs_SupplyCurve!D33</f>
        <v>0</v>
      </c>
      <c r="N52" s="284">
        <f>Inputs_SupplyCurve!E33+UPDATES!W14</f>
        <v>43.600473472612833</v>
      </c>
      <c r="O52" s="284"/>
      <c r="P52" s="19">
        <f t="shared" si="9"/>
        <v>43.600473472612833</v>
      </c>
      <c r="Q52" s="290">
        <f>L52-S1_BaseRefNGNoHydro!L52+P52</f>
        <v>-123.05610668157183</v>
      </c>
      <c r="R52" s="83"/>
    </row>
    <row r="53" spans="2:18" x14ac:dyDescent="0.35">
      <c r="B53" s="10">
        <v>2020</v>
      </c>
      <c r="C53" s="287">
        <f>(C34+SUM(D34:E34))*RefTables!$F194</f>
        <v>875.8958040561655</v>
      </c>
      <c r="D53" s="284">
        <f>Inputs_SupplyCurve!C34</f>
        <v>308.41130228773204</v>
      </c>
      <c r="E53" s="284">
        <f>Inputs_SupplyCurve!F34</f>
        <v>820.86807454247037</v>
      </c>
      <c r="F53" s="284">
        <f>Inputs_SupplyCurve!G34</f>
        <v>0</v>
      </c>
      <c r="G53" s="284">
        <f>SUMIFS(PriceSpikes!$P$7:$P$198,PriceSpikes!$B$7:$B$198,B53)</f>
        <v>-3478.9350037341092</v>
      </c>
      <c r="H53" s="284">
        <f>BalancingMeasures!$M$15*S13*10^-6</f>
        <v>34.783390959968031</v>
      </c>
      <c r="I53" s="284">
        <f>Inputs_AnnualElectric!T21+UPDATES!AA15</f>
        <v>1998.2500340023551</v>
      </c>
      <c r="J53" s="284">
        <f>T13*BalancingMeasures!$I$10*10^-6</f>
        <v>0</v>
      </c>
      <c r="K53" s="284">
        <f>U13*BalancingMeasures!$J$9/1000</f>
        <v>0</v>
      </c>
      <c r="L53" s="284">
        <f t="shared" si="8"/>
        <v>559.27360211458176</v>
      </c>
      <c r="M53" s="287">
        <f>Inputs_SupplyCurve!D34</f>
        <v>0</v>
      </c>
      <c r="N53" s="284">
        <f>Inputs_SupplyCurve!E34+UPDATES!W15</f>
        <v>52.503397930300167</v>
      </c>
      <c r="O53" s="284"/>
      <c r="P53" s="19">
        <f t="shared" si="9"/>
        <v>52.503397930300167</v>
      </c>
      <c r="Q53" s="290">
        <f>L53-S1_BaseRefNGNoHydro!L53+P53</f>
        <v>-57.888626993230758</v>
      </c>
      <c r="R53" s="83"/>
    </row>
    <row r="54" spans="2:18" x14ac:dyDescent="0.35">
      <c r="B54" s="10">
        <v>2021</v>
      </c>
      <c r="C54" s="287">
        <f>(C35+SUM(D35:E35))*RefTables!$F195</f>
        <v>881.3569975261438</v>
      </c>
      <c r="D54" s="284">
        <f>Inputs_SupplyCurve!C35</f>
        <v>334.92457133374</v>
      </c>
      <c r="E54" s="284">
        <f>Inputs_SupplyCurve!F35</f>
        <v>869.07403191821254</v>
      </c>
      <c r="F54" s="284">
        <f>Inputs_SupplyCurve!G35</f>
        <v>0</v>
      </c>
      <c r="G54" s="284">
        <f>SUMIFS(PriceSpikes!$P$7:$P$198,PriceSpikes!$B$7:$B$198,B54)</f>
        <v>-3430.4046115732017</v>
      </c>
      <c r="H54" s="284">
        <f>BalancingMeasures!$M$15*S14*10^-6</f>
        <v>34.783390959968031</v>
      </c>
      <c r="I54" s="284">
        <f>Inputs_AnnualElectric!T22+UPDATES!AA16</f>
        <v>1985.1431044597618</v>
      </c>
      <c r="J54" s="284">
        <f>T14*BalancingMeasures!$I$10*10^-6</f>
        <v>0</v>
      </c>
      <c r="K54" s="284">
        <f>U14*BalancingMeasures!$J$9/1000</f>
        <v>0</v>
      </c>
      <c r="L54" s="284">
        <f t="shared" si="8"/>
        <v>674.87748462462446</v>
      </c>
      <c r="M54" s="287">
        <f>Inputs_SupplyCurve!D35</f>
        <v>0</v>
      </c>
      <c r="N54" s="284">
        <f>Inputs_SupplyCurve!E35+UPDATES!W16</f>
        <v>114.94031986524755</v>
      </c>
      <c r="O54" s="284"/>
      <c r="P54" s="19">
        <f t="shared" si="9"/>
        <v>114.94031986524755</v>
      </c>
      <c r="Q54" s="290">
        <f>L54-S1_BaseRefNGNoHydro!L54+P54</f>
        <v>-69.738674124301554</v>
      </c>
      <c r="R54" s="83"/>
    </row>
    <row r="55" spans="2:18" x14ac:dyDescent="0.35">
      <c r="B55" s="10">
        <v>2022</v>
      </c>
      <c r="C55" s="287">
        <f>(C36+SUM(D36:E36))*RefTables!$F196</f>
        <v>888.49270225209386</v>
      </c>
      <c r="D55" s="284">
        <f>Inputs_SupplyCurve!C36</f>
        <v>358.56506012801765</v>
      </c>
      <c r="E55" s="284">
        <f>Inputs_SupplyCurve!F36</f>
        <v>914.59782634165924</v>
      </c>
      <c r="F55" s="284">
        <f>Inputs_SupplyCurve!G36</f>
        <v>0</v>
      </c>
      <c r="G55" s="284">
        <f>SUMIFS(PriceSpikes!$P$7:$P$198,PriceSpikes!$B$7:$B$198,B55)</f>
        <v>-3320.5341820563835</v>
      </c>
      <c r="H55" s="284">
        <f>BalancingMeasures!$M$15*S15*10^-6</f>
        <v>34.783390959968031</v>
      </c>
      <c r="I55" s="284">
        <f>Inputs_AnnualElectric!T23+UPDATES!AA17</f>
        <v>2030.4231673508484</v>
      </c>
      <c r="J55" s="284">
        <f>T15*BalancingMeasures!$I$10*10^-6</f>
        <v>0</v>
      </c>
      <c r="K55" s="284">
        <f>U15*BalancingMeasures!$J$9/1000</f>
        <v>0</v>
      </c>
      <c r="L55" s="284">
        <f t="shared" si="8"/>
        <v>906.32796497620348</v>
      </c>
      <c r="M55" s="287">
        <f>Inputs_SupplyCurve!D36</f>
        <v>0</v>
      </c>
      <c r="N55" s="284">
        <f>Inputs_SupplyCurve!E36+UPDATES!W17</f>
        <v>177.37724180019492</v>
      </c>
      <c r="O55" s="284"/>
      <c r="P55" s="19">
        <f t="shared" si="9"/>
        <v>177.37724180019492</v>
      </c>
      <c r="Q55" s="290">
        <f>L55-S1_BaseRefNGNoHydro!L55+P55</f>
        <v>-34.230030855558681</v>
      </c>
      <c r="R55" s="83"/>
    </row>
    <row r="56" spans="2:18" x14ac:dyDescent="0.35">
      <c r="B56" s="10">
        <v>2023</v>
      </c>
      <c r="C56" s="287">
        <f>(C37+SUM(D37:E37))*RefTables!$F197</f>
        <v>897.10521760804602</v>
      </c>
      <c r="D56" s="284">
        <f>Inputs_SupplyCurve!C37</f>
        <v>376.06410531864424</v>
      </c>
      <c r="E56" s="284">
        <f>Inputs_SupplyCurve!F37</f>
        <v>957.31887247311624</v>
      </c>
      <c r="F56" s="284">
        <f>Inputs_SupplyCurve!G37</f>
        <v>0</v>
      </c>
      <c r="G56" s="284">
        <f>SUMIFS(PriceSpikes!$P$7:$P$198,PriceSpikes!$B$7:$B$198,B56)</f>
        <v>-3326.6961369673627</v>
      </c>
      <c r="H56" s="284">
        <f>BalancingMeasures!$M$15*S16*10^-6</f>
        <v>34.783390959968031</v>
      </c>
      <c r="I56" s="284">
        <f>Inputs_AnnualElectric!T24+UPDATES!AA18</f>
        <v>2082.9367370198511</v>
      </c>
      <c r="J56" s="284">
        <f>T16*BalancingMeasures!$I$10*10^-6</f>
        <v>0</v>
      </c>
      <c r="K56" s="284">
        <f>U16*BalancingMeasures!$J$9/1000</f>
        <v>0</v>
      </c>
      <c r="L56" s="284">
        <f t="shared" si="8"/>
        <v>1021.512186412263</v>
      </c>
      <c r="M56" s="287">
        <f>Inputs_SupplyCurve!D37</f>
        <v>0</v>
      </c>
      <c r="N56" s="284">
        <f>Inputs_SupplyCurve!E37+UPDATES!W18</f>
        <v>239.8141637351423</v>
      </c>
      <c r="O56" s="284"/>
      <c r="P56" s="19">
        <f t="shared" si="9"/>
        <v>239.8141637351423</v>
      </c>
      <c r="Q56" s="290">
        <f>L56-S1_BaseRefNGNoHydro!L56+P56</f>
        <v>4.4567262463092447</v>
      </c>
      <c r="R56" s="83"/>
    </row>
    <row r="57" spans="2:18" x14ac:dyDescent="0.35">
      <c r="B57" s="10">
        <v>2024</v>
      </c>
      <c r="C57" s="287">
        <f>(C38+SUM(D38:E38))*RefTables!$F198</f>
        <v>906.99429849409512</v>
      </c>
      <c r="D57" s="284">
        <f>Inputs_SupplyCurve!C38</f>
        <v>396.43120882909466</v>
      </c>
      <c r="E57" s="284">
        <f>Inputs_SupplyCurve!F38</f>
        <v>996.46776975883404</v>
      </c>
      <c r="F57" s="284">
        <f>Inputs_SupplyCurve!G38</f>
        <v>0</v>
      </c>
      <c r="G57" s="284">
        <f>SUMIFS(PriceSpikes!$P$7:$P$198,PriceSpikes!$B$7:$B$198,B57)</f>
        <v>-3481.124810558309</v>
      </c>
      <c r="H57" s="284">
        <f>BalancingMeasures!$M$15*S17*10^-6</f>
        <v>34.783390959968031</v>
      </c>
      <c r="I57" s="284">
        <f>Inputs_AnnualElectric!T25+UPDATES!AA19</f>
        <v>2097.0687977113162</v>
      </c>
      <c r="J57" s="284">
        <f>T17*BalancingMeasures!$I$10*10^-6</f>
        <v>0</v>
      </c>
      <c r="K57" s="284">
        <f>U17*BalancingMeasures!$J$9/1000</f>
        <v>0</v>
      </c>
      <c r="L57" s="284">
        <f t="shared" si="8"/>
        <v>950.62065519499902</v>
      </c>
      <c r="M57" s="287">
        <f>Inputs_SupplyCurve!D38</f>
        <v>0</v>
      </c>
      <c r="N57" s="284">
        <f>Inputs_SupplyCurve!E38+UPDATES!W19</f>
        <v>302.25108567008971</v>
      </c>
      <c r="O57" s="284"/>
      <c r="P57" s="19">
        <f t="shared" si="9"/>
        <v>302.25108567008971</v>
      </c>
      <c r="Q57" s="290">
        <f>L57-S1_BaseRefNGNoHydro!L57+P57</f>
        <v>33.529894197421129</v>
      </c>
      <c r="R57" s="83"/>
    </row>
    <row r="58" spans="2:18" x14ac:dyDescent="0.35">
      <c r="B58" s="10">
        <v>2025</v>
      </c>
      <c r="C58" s="287">
        <f>(C39+SUM(D39:E39))*RefTables!$F199</f>
        <v>909.16942150679165</v>
      </c>
      <c r="D58" s="284">
        <f>Inputs_SupplyCurve!C39</f>
        <v>416.29833553275068</v>
      </c>
      <c r="E58" s="284">
        <f>Inputs_SupplyCurve!F39</f>
        <v>1031.4920261822479</v>
      </c>
      <c r="F58" s="284">
        <f>Inputs_SupplyCurve!G39</f>
        <v>97.003539999999987</v>
      </c>
      <c r="G58" s="284">
        <f>SUMIFS(PriceSpikes!$P$7:$P$198,PriceSpikes!$B$7:$B$198,B58)</f>
        <v>-3440.0273792678963</v>
      </c>
      <c r="H58" s="284">
        <f>BalancingMeasures!$M$15*S18*10^-6</f>
        <v>34.783390959968031</v>
      </c>
      <c r="I58" s="284">
        <f>Inputs_AnnualElectric!T26+UPDATES!AA20</f>
        <v>2123.3014565143567</v>
      </c>
      <c r="J58" s="284">
        <f>T18*BalancingMeasures!$I$10*10^-6</f>
        <v>0</v>
      </c>
      <c r="K58" s="284">
        <f>U18*BalancingMeasures!$J$9/1000</f>
        <v>0</v>
      </c>
      <c r="L58" s="284">
        <f t="shared" si="8"/>
        <v>1172.0207914282191</v>
      </c>
      <c r="M58" s="287">
        <f>Inputs_SupplyCurve!D39</f>
        <v>0</v>
      </c>
      <c r="N58" s="284">
        <f>Inputs_SupplyCurve!E39+UPDATES!W20</f>
        <v>364.68800760503711</v>
      </c>
      <c r="O58" s="284"/>
      <c r="P58" s="19">
        <f t="shared" si="9"/>
        <v>364.68800760503711</v>
      </c>
      <c r="Q58" s="290">
        <f>L58-S1_BaseRefNGNoHydro!L58+P58</f>
        <v>65.432644119790098</v>
      </c>
      <c r="R58" s="83"/>
    </row>
    <row r="59" spans="2:18" x14ac:dyDescent="0.35">
      <c r="B59" s="10">
        <v>2026</v>
      </c>
      <c r="C59" s="287">
        <f>(C40+SUM(D40:E40))*RefTables!$F200</f>
        <v>913.84572291134134</v>
      </c>
      <c r="D59" s="284">
        <f>Inputs_SupplyCurve!C40</f>
        <v>435.39608562997785</v>
      </c>
      <c r="E59" s="284">
        <f>Inputs_SupplyCurve!F40</f>
        <v>1063.9776628284449</v>
      </c>
      <c r="F59" s="284">
        <f>Inputs_SupplyCurve!G40</f>
        <v>0</v>
      </c>
      <c r="G59" s="284">
        <f>SUMIFS(PriceSpikes!$P$7:$P$198,PriceSpikes!$B$7:$B$198,B59)</f>
        <v>-3459.7462355513076</v>
      </c>
      <c r="H59" s="284">
        <f>BalancingMeasures!$M$15*S19*10^-6</f>
        <v>34.783390959968031</v>
      </c>
      <c r="I59" s="284">
        <f>Inputs_AnnualElectric!T27+UPDATES!AA21</f>
        <v>2170.9653257215487</v>
      </c>
      <c r="J59" s="284">
        <f>T19*BalancingMeasures!$I$10*10^-6</f>
        <v>0</v>
      </c>
      <c r="K59" s="284">
        <f>U19*BalancingMeasures!$J$9/1000</f>
        <v>0</v>
      </c>
      <c r="L59" s="284">
        <f t="shared" si="8"/>
        <v>1159.2219524999732</v>
      </c>
      <c r="M59" s="287">
        <f>Inputs_SupplyCurve!D40</f>
        <v>0</v>
      </c>
      <c r="N59" s="284">
        <f>Inputs_SupplyCurve!E40+UPDATES!W21</f>
        <v>427.12492953998446</v>
      </c>
      <c r="O59" s="284"/>
      <c r="P59" s="19">
        <f t="shared" si="9"/>
        <v>427.12492953998446</v>
      </c>
      <c r="Q59" s="290">
        <f>L59-S1_BaseRefNGNoHydro!L59+P59</f>
        <v>101.60877385480046</v>
      </c>
      <c r="R59" s="83"/>
    </row>
    <row r="60" spans="2:18" x14ac:dyDescent="0.35">
      <c r="B60" s="10">
        <v>2027</v>
      </c>
      <c r="C60" s="287">
        <f>(C41+SUM(D41:E41))*RefTables!$F201</f>
        <v>918.69476705660679</v>
      </c>
      <c r="D60" s="284">
        <f>Inputs_SupplyCurve!C41</f>
        <v>453.92400148253785</v>
      </c>
      <c r="E60" s="284">
        <f>Inputs_SupplyCurve!F41</f>
        <v>1095.6589563061075</v>
      </c>
      <c r="F60" s="284">
        <f>Inputs_SupplyCurve!G41</f>
        <v>0</v>
      </c>
      <c r="G60" s="284">
        <f>SUMIFS(PriceSpikes!$P$7:$P$198,PriceSpikes!$B$7:$B$198,B60)</f>
        <v>-3477.4368437049698</v>
      </c>
      <c r="H60" s="284">
        <f>BalancingMeasures!$M$15*S20*10^-6</f>
        <v>34.783390959968031</v>
      </c>
      <c r="I60" s="284">
        <f>Inputs_AnnualElectric!T28+UPDATES!AA22</f>
        <v>2199.7795060459721</v>
      </c>
      <c r="J60" s="284">
        <f>T20*BalancingMeasures!$I$10*10^-6</f>
        <v>0</v>
      </c>
      <c r="K60" s="284">
        <f>U20*BalancingMeasures!$J$9/1000</f>
        <v>0</v>
      </c>
      <c r="L60" s="284">
        <f t="shared" si="8"/>
        <v>1225.4037781462225</v>
      </c>
      <c r="M60" s="287">
        <f>Inputs_SupplyCurve!D41</f>
        <v>0</v>
      </c>
      <c r="N60" s="284">
        <f>Inputs_SupplyCurve!E41+UPDATES!W22</f>
        <v>489.56185147493187</v>
      </c>
      <c r="O60" s="284"/>
      <c r="P60" s="19">
        <f t="shared" si="9"/>
        <v>489.56185147493187</v>
      </c>
      <c r="Q60" s="290">
        <f>L60-S1_BaseRefNGNoHydro!L60+P60</f>
        <v>136.81626090690969</v>
      </c>
      <c r="R60" s="83"/>
    </row>
    <row r="61" spans="2:18" x14ac:dyDescent="0.35">
      <c r="B61" s="10">
        <v>2028</v>
      </c>
      <c r="C61" s="287">
        <f>(C42+SUM(D42:E42))*RefTables!$F202</f>
        <v>925.77734796738901</v>
      </c>
      <c r="D61" s="284">
        <f>Inputs_SupplyCurve!C42</f>
        <v>471.72277130741145</v>
      </c>
      <c r="E61" s="284">
        <f>Inputs_SupplyCurve!F42</f>
        <v>1120.7748389329322</v>
      </c>
      <c r="F61" s="284">
        <f>Inputs_SupplyCurve!G42</f>
        <v>0</v>
      </c>
      <c r="G61" s="284">
        <f>SUMIFS(PriceSpikes!$P$7:$P$198,PriceSpikes!$B$7:$B$198,B61)</f>
        <v>-3578.5774524857043</v>
      </c>
      <c r="H61" s="284">
        <f>BalancingMeasures!$M$15*S21*10^-6</f>
        <v>34.783390959968031</v>
      </c>
      <c r="I61" s="284">
        <f>Inputs_AnnualElectric!T29+UPDATES!AA23</f>
        <v>2266.7289700232454</v>
      </c>
      <c r="J61" s="284">
        <f>T21*BalancingMeasures!$I$10*10^-6</f>
        <v>0</v>
      </c>
      <c r="K61" s="284">
        <f>U21*BalancingMeasures!$J$9/1000</f>
        <v>0</v>
      </c>
      <c r="L61" s="284">
        <f t="shared" si="8"/>
        <v>1241.2098667052419</v>
      </c>
      <c r="M61" s="287">
        <f>Inputs_SupplyCurve!D42</f>
        <v>0</v>
      </c>
      <c r="N61" s="284">
        <f>Inputs_SupplyCurve!E42+UPDATES!W23</f>
        <v>551.99877340987928</v>
      </c>
      <c r="O61" s="284"/>
      <c r="P61" s="19">
        <f t="shared" si="9"/>
        <v>551.99877340987928</v>
      </c>
      <c r="Q61" s="290">
        <f>L61-S1_BaseRefNGNoHydro!L61+P61</f>
        <v>162.79714281323072</v>
      </c>
      <c r="R61" s="83"/>
    </row>
    <row r="62" spans="2:18" x14ac:dyDescent="0.35">
      <c r="B62" s="10">
        <v>2029</v>
      </c>
      <c r="C62" s="287">
        <f>(C43+SUM(D43:E43))*RefTables!$F203</f>
        <v>925.36805113799812</v>
      </c>
      <c r="D62" s="284">
        <f>Inputs_SupplyCurve!C43</f>
        <v>488.97832583960559</v>
      </c>
      <c r="E62" s="284">
        <f>Inputs_SupplyCurve!F43</f>
        <v>1145.8391388744885</v>
      </c>
      <c r="F62" s="284">
        <f>Inputs_SupplyCurve!G43</f>
        <v>0</v>
      </c>
      <c r="G62" s="284">
        <f>SUMIFS(PriceSpikes!$P$7:$P$198,PriceSpikes!$B$7:$B$198,B62)</f>
        <v>-3597.4172412566404</v>
      </c>
      <c r="H62" s="284">
        <f>BalancingMeasures!$M$15*S22*10^-6</f>
        <v>34.783390959968031</v>
      </c>
      <c r="I62" s="284">
        <f>Inputs_AnnualElectric!T30+UPDATES!AA24</f>
        <v>2327.0382536167244</v>
      </c>
      <c r="J62" s="284">
        <f>T22*BalancingMeasures!$I$10*10^-6</f>
        <v>0</v>
      </c>
      <c r="K62" s="284">
        <f>U22*BalancingMeasures!$J$9/1000</f>
        <v>0</v>
      </c>
      <c r="L62" s="284">
        <f t="shared" si="8"/>
        <v>1324.5899191721442</v>
      </c>
      <c r="M62" s="287">
        <f>Inputs_SupplyCurve!D43</f>
        <v>0</v>
      </c>
      <c r="N62" s="284">
        <f>Inputs_SupplyCurve!E43+UPDATES!W24</f>
        <v>614.43569534482663</v>
      </c>
      <c r="O62" s="284"/>
      <c r="P62" s="19">
        <f t="shared" si="9"/>
        <v>614.43569534482663</v>
      </c>
      <c r="Q62" s="290">
        <f>L62-S1_BaseRefNGNoHydro!L62+P62</f>
        <v>159.15403584202818</v>
      </c>
      <c r="R62" s="83"/>
    </row>
    <row r="63" spans="2:18" ht="18" thickBot="1" x14ac:dyDescent="0.4">
      <c r="B63" s="11">
        <v>2030</v>
      </c>
      <c r="C63" s="288">
        <f>(C44+SUM(D44:E44))*RefTables!$F204</f>
        <v>927.59877696373212</v>
      </c>
      <c r="D63" s="285">
        <f>Inputs_SupplyCurve!C44</f>
        <v>505.70253232383402</v>
      </c>
      <c r="E63" s="285">
        <f>Inputs_SupplyCurve!F44</f>
        <v>1171.828130607023</v>
      </c>
      <c r="F63" s="285">
        <f>Inputs_SupplyCurve!G44</f>
        <v>0</v>
      </c>
      <c r="G63" s="285">
        <f>SUMIFS(PriceSpikes!$P$7:$P$198,PriceSpikes!$B$7:$B$198,B63)</f>
        <v>-3574.708828957886</v>
      </c>
      <c r="H63" s="285">
        <f>BalancingMeasures!$M$15*S23*10^-6</f>
        <v>34.783390959968031</v>
      </c>
      <c r="I63" s="285">
        <f>Inputs_AnnualElectric!T31+UPDATES!AA25</f>
        <v>2344.1124223613551</v>
      </c>
      <c r="J63" s="285">
        <f>T23*BalancingMeasures!$I$10*10^-6</f>
        <v>0</v>
      </c>
      <c r="K63" s="285">
        <f>U23*BalancingMeasures!$J$9/1000</f>
        <v>0</v>
      </c>
      <c r="L63" s="285">
        <f t="shared" si="8"/>
        <v>1409.3164242580265</v>
      </c>
      <c r="M63" s="288">
        <f>Inputs_SupplyCurve!D44</f>
        <v>0</v>
      </c>
      <c r="N63" s="285">
        <f>Inputs_SupplyCurve!E44+UPDATES!W25</f>
        <v>676.87261727977398</v>
      </c>
      <c r="O63" s="285"/>
      <c r="P63" s="20">
        <f t="shared" si="9"/>
        <v>676.87261727977398</v>
      </c>
      <c r="Q63" s="291">
        <f>L63-S1_BaseRefNGNoHydro!L63+P63</f>
        <v>130.22357481847507</v>
      </c>
      <c r="R63" s="83"/>
    </row>
    <row r="64" spans="2:18" x14ac:dyDescent="0.35">
      <c r="B64" s="76"/>
      <c r="D64" s="184"/>
    </row>
  </sheetData>
  <mergeCells count="22">
    <mergeCell ref="B46:B47"/>
    <mergeCell ref="C46:L46"/>
    <mergeCell ref="M46:P46"/>
    <mergeCell ref="Q46:Q47"/>
    <mergeCell ref="B27:B28"/>
    <mergeCell ref="C27:E27"/>
    <mergeCell ref="J27:J28"/>
    <mergeCell ref="K27:M27"/>
    <mergeCell ref="Q27:R27"/>
    <mergeCell ref="B4:R4"/>
    <mergeCell ref="H27:H28"/>
    <mergeCell ref="P27:P28"/>
    <mergeCell ref="F27:G27"/>
    <mergeCell ref="N27:O27"/>
    <mergeCell ref="B25:R25"/>
    <mergeCell ref="C6:E6"/>
    <mergeCell ref="F6:G6"/>
    <mergeCell ref="Q6:R6"/>
    <mergeCell ref="H6:I6"/>
    <mergeCell ref="J6:K6"/>
    <mergeCell ref="L6:P6"/>
    <mergeCell ref="B6:B7"/>
  </mergeCells>
  <conditionalFormatting sqref="Q8:Q23">
    <cfRule type="expression" dxfId="12" priority="2">
      <formula>R8&lt;=95%</formula>
    </cfRule>
  </conditionalFormatting>
  <conditionalFormatting sqref="H8:H23">
    <cfRule type="expression" dxfId="11" priority="4">
      <formula>I8&lt;=95%</formula>
    </cfRule>
  </conditionalFormatting>
  <conditionalFormatting sqref="R34 R44 P34">
    <cfRule type="expression" dxfId="10" priority="1">
      <formula>$P$34&lt;=#REF!</formula>
    </cfRule>
  </conditionalFormatting>
  <conditionalFormatting sqref="P44">
    <cfRule type="expression" dxfId="9" priority="80">
      <formula>$P$44&lt;=#REF!</formula>
    </cfRule>
  </conditionalFormatting>
  <pageMargins left="0.7" right="0.7" top="0.75" bottom="0.75" header="0.3" footer="0.3"/>
  <pageSetup scale="4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B2:Z64"/>
  <sheetViews>
    <sheetView showGridLines="0" view="pageBreakPreview" zoomScale="85" zoomScaleNormal="70" zoomScaleSheetLayoutView="85" workbookViewId="0">
      <pane ySplit="4" topLeftCell="A26" activePane="bottomLeft" state="frozen"/>
      <selection activeCell="X23" sqref="X23"/>
      <selection pane="bottomLeft" activeCell="X23" sqref="X23"/>
    </sheetView>
  </sheetViews>
  <sheetFormatPr defaultRowHeight="17.25" x14ac:dyDescent="0.35"/>
  <cols>
    <col min="1" max="1" width="2.375" customWidth="1"/>
    <col min="2" max="18" width="13.375" customWidth="1"/>
    <col min="19" max="19" width="11.25" customWidth="1"/>
    <col min="20" max="23" width="10.125" customWidth="1"/>
    <col min="26" max="26" width="10.625" bestFit="1" customWidth="1"/>
    <col min="27" max="27" width="10.25" customWidth="1"/>
    <col min="28" max="28" width="10.625" customWidth="1"/>
  </cols>
  <sheetData>
    <row r="2" spans="2:26" ht="30.75" x14ac:dyDescent="0.6">
      <c r="B2" s="1" t="s">
        <v>432</v>
      </c>
      <c r="R2" s="362" t="str">
        <f>IF(SUM($P$8:$P$23)&lt;&gt;0,"This scenario requires a pipeline.","This scenario does not require a pipeline.")</f>
        <v>This scenario requires a pipeline.</v>
      </c>
      <c r="X2" s="195"/>
      <c r="Y2" s="193">
        <v>5.6000000000000001E-2</v>
      </c>
      <c r="Z2" s="194" t="e">
        <f>Y2/X2</f>
        <v>#DIV/0!</v>
      </c>
    </row>
    <row r="4" spans="2:26" ht="21.75" x14ac:dyDescent="0.45">
      <c r="B4" s="432" t="s">
        <v>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</row>
    <row r="5" spans="2:26" ht="18" thickBot="1" x14ac:dyDescent="0.4">
      <c r="B5" s="2"/>
      <c r="C5" s="75"/>
      <c r="D5" s="184"/>
      <c r="E5" s="184"/>
      <c r="F5" s="184"/>
      <c r="G5" s="184"/>
      <c r="H5" s="184"/>
      <c r="I5" s="184"/>
      <c r="J5" s="184"/>
      <c r="K5" s="184"/>
      <c r="L5" s="184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6" ht="19.5" customHeight="1" x14ac:dyDescent="0.4">
      <c r="B6" s="458" t="s">
        <v>548</v>
      </c>
      <c r="C6" s="446" t="s">
        <v>435</v>
      </c>
      <c r="D6" s="447"/>
      <c r="E6" s="447"/>
      <c r="F6" s="446" t="s">
        <v>550</v>
      </c>
      <c r="G6" s="451"/>
      <c r="H6" s="446" t="s">
        <v>436</v>
      </c>
      <c r="I6" s="447"/>
      <c r="J6" s="446" t="s">
        <v>551</v>
      </c>
      <c r="K6" s="451"/>
      <c r="L6" s="446" t="s">
        <v>557</v>
      </c>
      <c r="M6" s="447"/>
      <c r="N6" s="447"/>
      <c r="O6" s="447"/>
      <c r="P6" s="451"/>
      <c r="Q6" s="462" t="s">
        <v>553</v>
      </c>
      <c r="R6" s="463"/>
    </row>
    <row r="7" spans="2:26" ht="52.5" thickBot="1" x14ac:dyDescent="0.4">
      <c r="B7" s="459"/>
      <c r="C7" s="15" t="s">
        <v>456</v>
      </c>
      <c r="D7" s="16" t="s">
        <v>425</v>
      </c>
      <c r="E7" s="16" t="s">
        <v>20</v>
      </c>
      <c r="F7" s="15" t="s">
        <v>2</v>
      </c>
      <c r="G7" s="16" t="s">
        <v>538</v>
      </c>
      <c r="H7" s="15" t="s">
        <v>457</v>
      </c>
      <c r="I7" s="16" t="s">
        <v>409</v>
      </c>
      <c r="J7" s="15" t="s">
        <v>552</v>
      </c>
      <c r="K7" s="16" t="s">
        <v>267</v>
      </c>
      <c r="L7" s="15" t="s">
        <v>539</v>
      </c>
      <c r="M7" s="16" t="s">
        <v>453</v>
      </c>
      <c r="N7" s="16" t="s">
        <v>107</v>
      </c>
      <c r="O7" s="16" t="s">
        <v>106</v>
      </c>
      <c r="P7" s="17" t="s">
        <v>328</v>
      </c>
      <c r="Q7" s="15" t="s">
        <v>457</v>
      </c>
      <c r="R7" s="240" t="s">
        <v>409</v>
      </c>
      <c r="S7" s="275" t="s">
        <v>465</v>
      </c>
      <c r="T7" s="275" t="s">
        <v>455</v>
      </c>
      <c r="U7" s="275" t="s">
        <v>437</v>
      </c>
      <c r="V7" s="275"/>
      <c r="W7" s="161"/>
      <c r="X7" s="162"/>
      <c r="Z7" s="196"/>
    </row>
    <row r="8" spans="2:26" x14ac:dyDescent="0.35">
      <c r="B8" s="9">
        <v>2015</v>
      </c>
      <c r="C8" s="5">
        <f>RefTables!D23+RefTables!$F$49*RefTables!$F$57/1000</f>
        <v>157.12752906068812</v>
      </c>
      <c r="D8" s="110">
        <f>-Inputs_SupplyCurve!AP29/1000</f>
        <v>-8.0169925080334483</v>
      </c>
      <c r="E8" s="110">
        <f>-(Inputs_SupplyCurve!AQ29+Inputs_SupplyCurve!AR29)/1000-RefTables!D284</f>
        <v>-7.1691849252427762</v>
      </c>
      <c r="F8" s="5">
        <f>RefTables!F79/1000</f>
        <v>85.720249999999993</v>
      </c>
      <c r="G8" s="3">
        <f>RefTables!$F$127/1000</f>
        <v>36.795041666666663</v>
      </c>
      <c r="H8" s="237">
        <f t="shared" ref="H8:H23" si="0">SUM(F8:G8)-SUM(C8:E8)</f>
        <v>-19.426059960745249</v>
      </c>
      <c r="I8" s="262">
        <f t="shared" ref="I8:I23" si="1">SUM(C8:E8)/SUM(F8:G8)</f>
        <v>1.1585602882422112</v>
      </c>
      <c r="J8" s="342">
        <f>MAX(-H8,0)</f>
        <v>19.426059960745249</v>
      </c>
      <c r="K8" s="345">
        <f>Inputs_JanElectric!I16+UPDATES!L10</f>
        <v>14.10284</v>
      </c>
      <c r="L8" s="5">
        <f>RefTables!$F$126/1000</f>
        <v>18.940624999999997</v>
      </c>
      <c r="M8" s="3">
        <f>RefTables!$F$125/1000</f>
        <v>12.191666666666666</v>
      </c>
      <c r="N8" s="325">
        <f>BalancingMeasures!$N$10*T8</f>
        <v>0.5776</v>
      </c>
      <c r="O8" s="4">
        <f>BalancingMeasures!$N$9*U8</f>
        <v>3.5840000000000001</v>
      </c>
      <c r="P8" s="6"/>
      <c r="Q8" s="241">
        <f t="shared" ref="Q8:Q23" si="2">SUM(L8:P8)-SUM(J8:K8)</f>
        <v>1.7649917059214175</v>
      </c>
      <c r="R8" s="242">
        <f t="shared" ref="R8:R23" si="3">SUM(J8:K8)/SUM(L8:P8)</f>
        <v>0.94999158147276896</v>
      </c>
      <c r="S8" s="107"/>
      <c r="T8" s="107">
        <v>760</v>
      </c>
      <c r="U8" s="107">
        <v>3584</v>
      </c>
      <c r="V8" s="107"/>
      <c r="W8" s="158"/>
      <c r="X8" s="159"/>
      <c r="Y8" s="158"/>
      <c r="Z8" s="197"/>
    </row>
    <row r="9" spans="2:26" x14ac:dyDescent="0.35">
      <c r="B9" s="10">
        <v>2016</v>
      </c>
      <c r="C9" s="7">
        <f>RefTables!D24+RefTables!$F$49*RefTables!$F$57/1000</f>
        <v>159.85216975606758</v>
      </c>
      <c r="D9" s="111">
        <f>-Inputs_SupplyCurve!AP30/1000</f>
        <v>-10.495713831921673</v>
      </c>
      <c r="E9" s="111">
        <f>-(Inputs_SupplyCurve!AQ30+Inputs_SupplyCurve!AR30)/1000-RefTables!D285</f>
        <v>-8.1933512126647532</v>
      </c>
      <c r="F9" s="7">
        <f>RefTables!$F$80/1000</f>
        <v>99.970249999999993</v>
      </c>
      <c r="G9" s="4">
        <f>RefTables!$F$127/1000</f>
        <v>36.795041666666663</v>
      </c>
      <c r="H9" s="238">
        <f t="shared" si="0"/>
        <v>-4.3978130448144839</v>
      </c>
      <c r="I9" s="263">
        <f t="shared" si="1"/>
        <v>1.0321559146419481</v>
      </c>
      <c r="J9" s="343">
        <f t="shared" ref="J9:J23" si="4">MAX(-H9,0)</f>
        <v>4.3978130448144839</v>
      </c>
      <c r="K9" s="346">
        <f>Inputs_JanElectric!I17+UPDATES!L11</f>
        <v>14.0755982</v>
      </c>
      <c r="L9" s="7">
        <f>RefTables!$F$126/1000</f>
        <v>18.940624999999997</v>
      </c>
      <c r="M9" s="4">
        <f>RefTables!$F$125/1000</f>
        <v>12.191666666666666</v>
      </c>
      <c r="N9" s="325"/>
      <c r="O9" s="4"/>
      <c r="P9" s="8"/>
      <c r="Q9" s="238">
        <f t="shared" si="2"/>
        <v>12.658880421852178</v>
      </c>
      <c r="R9" s="243">
        <f t="shared" si="3"/>
        <v>0.59338424047317928</v>
      </c>
      <c r="S9" s="107"/>
      <c r="T9" s="107"/>
      <c r="U9" s="107"/>
      <c r="V9" s="107"/>
      <c r="W9" s="158"/>
      <c r="X9" s="159"/>
      <c r="Y9" s="158"/>
      <c r="Z9" s="197"/>
    </row>
    <row r="10" spans="2:26" x14ac:dyDescent="0.35">
      <c r="B10" s="10">
        <v>2017</v>
      </c>
      <c r="C10" s="7">
        <f>RefTables!D25+RefTables!$F$49*RefTables!$F$57/1000</f>
        <v>162.43792427380353</v>
      </c>
      <c r="D10" s="111">
        <f>-Inputs_SupplyCurve!AP31/1000</f>
        <v>-12.588996988686558</v>
      </c>
      <c r="E10" s="111">
        <f>-(Inputs_SupplyCurve!AQ31+Inputs_SupplyCurve!AR31)/1000-RefTables!D286</f>
        <v>-9.2175175000867302</v>
      </c>
      <c r="F10" s="7">
        <f>RefTables!$F$80/1000</f>
        <v>99.970249999999993</v>
      </c>
      <c r="G10" s="4">
        <f>RefTables!$F$127/1000</f>
        <v>36.795041666666663</v>
      </c>
      <c r="H10" s="238">
        <f t="shared" si="0"/>
        <v>-3.8661181183636018</v>
      </c>
      <c r="I10" s="263">
        <f t="shared" si="1"/>
        <v>1.0282682694655187</v>
      </c>
      <c r="J10" s="343">
        <f t="shared" si="4"/>
        <v>3.8661181183636018</v>
      </c>
      <c r="K10" s="346">
        <f>Inputs_JanElectric!I18+UPDATES!L12</f>
        <v>12.404586399999999</v>
      </c>
      <c r="L10" s="7">
        <f>RefTables!$F$126/1000</f>
        <v>18.940624999999997</v>
      </c>
      <c r="M10" s="4">
        <f>RefTables!$F$125/1000</f>
        <v>12.191666666666666</v>
      </c>
      <c r="N10" s="325"/>
      <c r="O10" s="4"/>
      <c r="P10" s="8"/>
      <c r="Q10" s="238">
        <f t="shared" si="2"/>
        <v>14.861587148303062</v>
      </c>
      <c r="R10" s="277">
        <f t="shared" si="3"/>
        <v>0.52263112181313143</v>
      </c>
      <c r="S10" s="107"/>
      <c r="T10" s="107"/>
      <c r="U10" s="107"/>
      <c r="V10" s="107"/>
      <c r="W10" s="158"/>
      <c r="X10" s="159"/>
      <c r="Y10" s="158"/>
      <c r="Z10" s="197"/>
    </row>
    <row r="11" spans="2:26" x14ac:dyDescent="0.35">
      <c r="B11" s="10">
        <v>2018</v>
      </c>
      <c r="C11" s="7">
        <f>RefTables!D26+RefTables!$F$49*RefTables!$F$57/1000</f>
        <v>165.218866784326</v>
      </c>
      <c r="D11" s="111">
        <f>-Inputs_SupplyCurve!AP32/1000</f>
        <v>-14.554759197462396</v>
      </c>
      <c r="E11" s="111">
        <f>-(Inputs_SupplyCurve!AQ32+Inputs_SupplyCurve!AR32)/1000-RefTables!D287</f>
        <v>-10.241683787508707</v>
      </c>
      <c r="F11" s="7">
        <f>RefTables!$F$80/1000</f>
        <v>99.970249999999993</v>
      </c>
      <c r="G11" s="4">
        <f>RefTables!$F$127/1000</f>
        <v>36.795041666666663</v>
      </c>
      <c r="H11" s="238">
        <f t="shared" si="0"/>
        <v>-3.6571321326882185</v>
      </c>
      <c r="I11" s="263">
        <f t="shared" si="1"/>
        <v>1.026740206437768</v>
      </c>
      <c r="J11" s="343">
        <f t="shared" si="4"/>
        <v>3.6571321326882185</v>
      </c>
      <c r="K11" s="346">
        <f>Inputs_JanElectric!I19+UPDATES!L13</f>
        <v>24.8914446</v>
      </c>
      <c r="L11" s="7">
        <f>RefTables!$F$126/1000</f>
        <v>18.940624999999997</v>
      </c>
      <c r="M11" s="4">
        <f>RefTables!$F$125/1000</f>
        <v>12.191666666666666</v>
      </c>
      <c r="N11" s="325"/>
      <c r="O11" s="4"/>
      <c r="P11" s="8"/>
      <c r="Q11" s="238">
        <f t="shared" si="2"/>
        <v>2.5837149339784453</v>
      </c>
      <c r="R11" s="277">
        <f t="shared" si="3"/>
        <v>0.9170085208746509</v>
      </c>
      <c r="S11" s="107"/>
      <c r="T11" s="107"/>
      <c r="U11" s="107"/>
      <c r="V11" s="107"/>
      <c r="W11" s="158"/>
      <c r="X11" s="159"/>
      <c r="Y11" s="158"/>
      <c r="Z11" s="197"/>
    </row>
    <row r="12" spans="2:26" x14ac:dyDescent="0.35">
      <c r="B12" s="10">
        <v>2019</v>
      </c>
      <c r="C12" s="7">
        <f>RefTables!D27+RefTables!$F$49*RefTables!$F$57/1000</f>
        <v>167.74355386487682</v>
      </c>
      <c r="D12" s="111">
        <f>-Inputs_SupplyCurve!AP33/1000</f>
        <v>-16.523571745239565</v>
      </c>
      <c r="E12" s="111">
        <f>-(Inputs_SupplyCurve!AQ33+Inputs_SupplyCurve!AR33)/1000-RefTables!D288</f>
        <v>-11.265850074930684</v>
      </c>
      <c r="F12" s="7">
        <f>RefTables!$F$80/1000</f>
        <v>99.970249999999993</v>
      </c>
      <c r="G12" s="4">
        <f>RefTables!$F$127/1000</f>
        <v>36.795041666666663</v>
      </c>
      <c r="H12" s="238">
        <f t="shared" si="0"/>
        <v>-3.188840378039913</v>
      </c>
      <c r="I12" s="263">
        <f t="shared" si="1"/>
        <v>1.0233161523598544</v>
      </c>
      <c r="J12" s="343">
        <f t="shared" si="4"/>
        <v>3.188840378039913</v>
      </c>
      <c r="K12" s="346">
        <f>Inputs_JanElectric!I20+UPDATES!L14</f>
        <v>16.093072799999998</v>
      </c>
      <c r="L12" s="7">
        <f>RefTables!$F$126/1000</f>
        <v>18.940624999999997</v>
      </c>
      <c r="M12" s="4">
        <f>RefTables!$F$125/1000</f>
        <v>12.191666666666666</v>
      </c>
      <c r="N12" s="325"/>
      <c r="O12" s="4"/>
      <c r="P12" s="8"/>
      <c r="Q12" s="238">
        <f t="shared" si="2"/>
        <v>11.850378488626752</v>
      </c>
      <c r="R12" s="243">
        <f t="shared" si="3"/>
        <v>0.61935412222432218</v>
      </c>
      <c r="S12" s="107"/>
      <c r="T12" s="107"/>
      <c r="U12" s="107"/>
      <c r="V12" s="107"/>
      <c r="W12" s="158"/>
      <c r="X12" s="159"/>
      <c r="Y12" s="160"/>
      <c r="Z12" s="158"/>
    </row>
    <row r="13" spans="2:26" x14ac:dyDescent="0.35">
      <c r="B13" s="10">
        <v>2020</v>
      </c>
      <c r="C13" s="7">
        <f>RefTables!D28+RefTables!$F$49*RefTables!$F$57/1000</f>
        <v>168.56469967420119</v>
      </c>
      <c r="D13" s="111">
        <f>-Inputs_SupplyCurve!AP34/1000</f>
        <v>-18.536560434815215</v>
      </c>
      <c r="E13" s="111">
        <f>-(Inputs_SupplyCurve!AQ34+Inputs_SupplyCurve!AR34)/1000-RefTables!D289</f>
        <v>-12.290016362352661</v>
      </c>
      <c r="F13" s="7">
        <f>RefTables!$F$80/1000</f>
        <v>99.970249999999993</v>
      </c>
      <c r="G13" s="4">
        <f>RefTables!$F$127/1000</f>
        <v>36.795041666666663</v>
      </c>
      <c r="H13" s="238">
        <f t="shared" si="0"/>
        <v>-0.97283121036664966</v>
      </c>
      <c r="I13" s="263">
        <f t="shared" si="1"/>
        <v>1.0071131439746985</v>
      </c>
      <c r="J13" s="343">
        <f t="shared" si="4"/>
        <v>0.97283121036664966</v>
      </c>
      <c r="K13" s="346">
        <f>Inputs_JanElectric!I21+UPDATES!L15</f>
        <v>51.729801000000002</v>
      </c>
      <c r="L13" s="7">
        <f>RefTables!$F$126/1000</f>
        <v>18.940624999999997</v>
      </c>
      <c r="M13" s="4">
        <f>RefTables!$F$125/1000</f>
        <v>12.191666666666666</v>
      </c>
      <c r="N13" s="4"/>
      <c r="O13" s="4"/>
      <c r="P13" s="8">
        <f>BalancingMeasures!$N$15*$S13</f>
        <v>24.999999999999996</v>
      </c>
      <c r="Q13" s="238">
        <f t="shared" si="2"/>
        <v>3.4296594563000085</v>
      </c>
      <c r="R13" s="243">
        <f t="shared" si="3"/>
        <v>0.93890041980351457</v>
      </c>
      <c r="S13" s="107">
        <v>6</v>
      </c>
      <c r="T13" s="107"/>
      <c r="U13" s="107"/>
      <c r="V13" s="107"/>
      <c r="W13" s="158"/>
      <c r="X13" s="159"/>
      <c r="Y13" s="158"/>
      <c r="Z13" s="158"/>
    </row>
    <row r="14" spans="2:26" x14ac:dyDescent="0.35">
      <c r="B14" s="10">
        <v>2021</v>
      </c>
      <c r="C14" s="7">
        <f>RefTables!D29+RefTables!$F$49*RefTables!$F$57/1000</f>
        <v>169.38995121257219</v>
      </c>
      <c r="D14" s="111">
        <f>-Inputs_SupplyCurve!AP35/1000</f>
        <v>-20.22341347859831</v>
      </c>
      <c r="E14" s="111">
        <f>-(Inputs_SupplyCurve!AQ35+Inputs_SupplyCurve!AR35)/1000-RefTables!D290</f>
        <v>-13.314962783303454</v>
      </c>
      <c r="F14" s="7">
        <f>RefTables!$F$80/1000</f>
        <v>99.970249999999993</v>
      </c>
      <c r="G14" s="4">
        <f>RefTables!$F$127/1000</f>
        <v>36.795041666666663</v>
      </c>
      <c r="H14" s="238">
        <f t="shared" si="0"/>
        <v>0.91371671599623028</v>
      </c>
      <c r="I14" s="263">
        <f t="shared" si="1"/>
        <v>0.99331908918658107</v>
      </c>
      <c r="J14" s="343">
        <f t="shared" si="4"/>
        <v>0</v>
      </c>
      <c r="K14" s="346">
        <f>Inputs_JanElectric!I22+UPDATES!L16</f>
        <v>50.615706757142853</v>
      </c>
      <c r="L14" s="7">
        <f>RefTables!$F$126/1000</f>
        <v>18.940624999999997</v>
      </c>
      <c r="M14" s="4">
        <f>RefTables!$F$125/1000</f>
        <v>12.191666666666666</v>
      </c>
      <c r="N14" s="4"/>
      <c r="O14" s="4"/>
      <c r="P14" s="8">
        <f>BalancingMeasures!$N$15*$S14</f>
        <v>24.999999999999996</v>
      </c>
      <c r="Q14" s="238">
        <f t="shared" si="2"/>
        <v>5.5165849095238073</v>
      </c>
      <c r="R14" s="243">
        <f t="shared" si="3"/>
        <v>0.90172172299176323</v>
      </c>
      <c r="S14" s="107">
        <v>6</v>
      </c>
      <c r="T14" s="107"/>
      <c r="U14" s="107"/>
      <c r="V14" s="107"/>
      <c r="W14" s="158"/>
      <c r="X14" s="159"/>
      <c r="Y14" s="158"/>
      <c r="Z14" s="158"/>
    </row>
    <row r="15" spans="2:26" x14ac:dyDescent="0.35">
      <c r="B15" s="10">
        <v>2022</v>
      </c>
      <c r="C15" s="7">
        <f>RefTables!D30+RefTables!$F$49*RefTables!$F$57/1000</f>
        <v>170.21932900863504</v>
      </c>
      <c r="D15" s="111">
        <f>-Inputs_SupplyCurve!AP36/1000</f>
        <v>-21.90951365234281</v>
      </c>
      <c r="E15" s="111">
        <f>-(Inputs_SupplyCurve!AQ36+Inputs_SupplyCurve!AR36)/1000-RefTables!D291</f>
        <v>-14.339909204254246</v>
      </c>
      <c r="F15" s="7">
        <f>RefTables!$F$80/1000</f>
        <v>99.970249999999993</v>
      </c>
      <c r="G15" s="4">
        <f>RefTables!$F$127/1000</f>
        <v>36.795041666666663</v>
      </c>
      <c r="H15" s="238">
        <f t="shared" si="0"/>
        <v>2.7953855146286628</v>
      </c>
      <c r="I15" s="263">
        <f t="shared" si="1"/>
        <v>0.97956070958820629</v>
      </c>
      <c r="J15" s="343">
        <f t="shared" si="4"/>
        <v>0</v>
      </c>
      <c r="K15" s="346">
        <f>Inputs_JanElectric!I23+UPDATES!L17</f>
        <v>49.006372514285701</v>
      </c>
      <c r="L15" s="7">
        <f>RefTables!$F$126/1000</f>
        <v>18.940624999999997</v>
      </c>
      <c r="M15" s="4">
        <f>RefTables!$F$125/1000</f>
        <v>12.191666666666666</v>
      </c>
      <c r="N15" s="4"/>
      <c r="O15" s="4"/>
      <c r="P15" s="8">
        <f>BalancingMeasures!$N$15*$S15</f>
        <v>24.999999999999996</v>
      </c>
      <c r="Q15" s="238">
        <f t="shared" si="2"/>
        <v>7.1259191523809591</v>
      </c>
      <c r="R15" s="243">
        <f t="shared" si="3"/>
        <v>0.87305134102314619</v>
      </c>
      <c r="S15" s="107">
        <v>6</v>
      </c>
      <c r="T15" s="107"/>
      <c r="U15" s="107"/>
      <c r="V15" s="107"/>
      <c r="W15" s="158"/>
      <c r="X15" s="159"/>
      <c r="Y15" s="158"/>
      <c r="Z15" s="158"/>
    </row>
    <row r="16" spans="2:26" x14ac:dyDescent="0.35">
      <c r="B16" s="10">
        <v>2023</v>
      </c>
      <c r="C16" s="7">
        <f>RefTables!D31+RefTables!$F$49*RefTables!$F$57/1000</f>
        <v>171.0528536936782</v>
      </c>
      <c r="D16" s="111">
        <f>-Inputs_SupplyCurve!AP37/1000</f>
        <v>-23.182898839076685</v>
      </c>
      <c r="E16" s="111">
        <f>-(Inputs_SupplyCurve!AQ37+Inputs_SupplyCurve!AR37)/1000-RefTables!D292</f>
        <v>-15.364855625205038</v>
      </c>
      <c r="F16" s="7">
        <f>RefTables!$F$80/1000</f>
        <v>99.970249999999993</v>
      </c>
      <c r="G16" s="4">
        <f>RefTables!$F$127/1000</f>
        <v>36.795041666666663</v>
      </c>
      <c r="H16" s="238">
        <f t="shared" si="0"/>
        <v>4.2601924372701774</v>
      </c>
      <c r="I16" s="263">
        <f t="shared" si="1"/>
        <v>0.96885033925381159</v>
      </c>
      <c r="J16" s="343">
        <f t="shared" si="4"/>
        <v>0</v>
      </c>
      <c r="K16" s="346">
        <f>Inputs_JanElectric!I24+UPDATES!L18</f>
        <v>44.342088271428565</v>
      </c>
      <c r="L16" s="7">
        <f>RefTables!$F$126/1000</f>
        <v>18.940624999999997</v>
      </c>
      <c r="M16" s="4">
        <f>RefTables!$F$125/1000</f>
        <v>12.191666666666666</v>
      </c>
      <c r="N16" s="4"/>
      <c r="O16" s="4"/>
      <c r="P16" s="8">
        <f>BalancingMeasures!$N$15*$S16</f>
        <v>24.999999999999996</v>
      </c>
      <c r="Q16" s="238">
        <f t="shared" si="2"/>
        <v>11.790203395238095</v>
      </c>
      <c r="R16" s="243">
        <f t="shared" si="3"/>
        <v>0.78995684934346744</v>
      </c>
      <c r="S16" s="107">
        <v>6</v>
      </c>
      <c r="T16" s="107"/>
      <c r="U16" s="107"/>
      <c r="V16" s="107"/>
      <c r="W16" s="158"/>
      <c r="X16" s="159"/>
      <c r="Y16" s="158"/>
      <c r="Z16" s="158"/>
    </row>
    <row r="17" spans="2:26" x14ac:dyDescent="0.35">
      <c r="B17" s="10">
        <v>2024</v>
      </c>
      <c r="C17" s="7">
        <f>RefTables!D32+RefTables!$F$49*RefTables!$F$57/1000</f>
        <v>171.89054600214658</v>
      </c>
      <c r="D17" s="111">
        <f>-Inputs_SupplyCurve!AP38/1000</f>
        <v>-24.565436162716658</v>
      </c>
      <c r="E17" s="111">
        <f>-(Inputs_SupplyCurve!AQ38+Inputs_SupplyCurve!AR38)/1000-RefTables!D293</f>
        <v>-16.389802046155832</v>
      </c>
      <c r="F17" s="7">
        <f>RefTables!$F$80/1000</f>
        <v>99.970249999999993</v>
      </c>
      <c r="G17" s="4">
        <f>RefTables!$F$127/1000</f>
        <v>36.795041666666663</v>
      </c>
      <c r="H17" s="238">
        <f t="shared" si="0"/>
        <v>5.829983873392564</v>
      </c>
      <c r="I17" s="263">
        <f t="shared" si="1"/>
        <v>0.95737234350655442</v>
      </c>
      <c r="J17" s="343">
        <f t="shared" si="4"/>
        <v>0</v>
      </c>
      <c r="K17" s="346">
        <f>Inputs_JanElectric!I25+UPDATES!L19</f>
        <v>43.958054028571418</v>
      </c>
      <c r="L17" s="7">
        <f>RefTables!$F$126/1000</f>
        <v>18.940624999999997</v>
      </c>
      <c r="M17" s="4">
        <f>RefTables!$F$125/1000</f>
        <v>12.191666666666666</v>
      </c>
      <c r="N17" s="4"/>
      <c r="O17" s="4"/>
      <c r="P17" s="8">
        <f>BalancingMeasures!$N$15*$S17</f>
        <v>24.999999999999996</v>
      </c>
      <c r="Q17" s="238">
        <f t="shared" si="2"/>
        <v>12.174237638095242</v>
      </c>
      <c r="R17" s="243">
        <f t="shared" si="3"/>
        <v>0.78311525724995945</v>
      </c>
      <c r="S17" s="107">
        <v>6</v>
      </c>
      <c r="T17" s="107"/>
      <c r="U17" s="107"/>
      <c r="V17" s="107"/>
      <c r="W17" s="158"/>
      <c r="X17" s="159"/>
      <c r="Y17" s="158"/>
      <c r="Z17" s="158"/>
    </row>
    <row r="18" spans="2:26" x14ac:dyDescent="0.35">
      <c r="B18" s="10">
        <v>2025</v>
      </c>
      <c r="C18" s="7">
        <f>RefTables!D33+RefTables!$F$49*RefTables!$F$57/1000</f>
        <v>172.73242677215728</v>
      </c>
      <c r="D18" s="111">
        <f>-Inputs_SupplyCurve!AP39/1000</f>
        <v>-25.886859714250889</v>
      </c>
      <c r="E18" s="111">
        <f>-(Inputs_SupplyCurve!AQ39+Inputs_SupplyCurve!AR39)/1000-RefTables!D294</f>
        <v>-17.414748467106623</v>
      </c>
      <c r="F18" s="7">
        <f>RefTables!$F$80/1000</f>
        <v>99.970249999999993</v>
      </c>
      <c r="G18" s="4">
        <f>RefTables!$F$127/1000</f>
        <v>36.795041666666663</v>
      </c>
      <c r="H18" s="238">
        <f t="shared" si="0"/>
        <v>7.3344730758668675</v>
      </c>
      <c r="I18" s="263">
        <f t="shared" si="1"/>
        <v>0.94637182441183298</v>
      </c>
      <c r="J18" s="343">
        <f t="shared" si="4"/>
        <v>0</v>
      </c>
      <c r="K18" s="346">
        <f>Inputs_JanElectric!I26+UPDATES!L20</f>
        <v>40.61504978571427</v>
      </c>
      <c r="L18" s="7">
        <f>RefTables!$F$126/1000</f>
        <v>18.940624999999997</v>
      </c>
      <c r="M18" s="4">
        <f>RefTables!$F$125/1000</f>
        <v>12.191666666666666</v>
      </c>
      <c r="N18" s="4"/>
      <c r="O18" s="4"/>
      <c r="P18" s="8">
        <f>BalancingMeasures!$N$15*$S18</f>
        <v>24.999999999999996</v>
      </c>
      <c r="Q18" s="238">
        <f t="shared" si="2"/>
        <v>15.51724188095239</v>
      </c>
      <c r="R18" s="243">
        <f t="shared" si="3"/>
        <v>0.72355944465800104</v>
      </c>
      <c r="S18" s="107">
        <v>6</v>
      </c>
      <c r="T18" s="107"/>
      <c r="U18" s="107"/>
      <c r="V18" s="107"/>
      <c r="W18" s="158"/>
      <c r="X18" s="159"/>
      <c r="Y18" s="159"/>
      <c r="Z18" s="158"/>
    </row>
    <row r="19" spans="2:26" x14ac:dyDescent="0.35">
      <c r="B19" s="10">
        <v>2026</v>
      </c>
      <c r="C19" s="7">
        <f>RefTables!D34+RefTables!$F$49*RefTables!$F$57/1000</f>
        <v>173.57851694601806</v>
      </c>
      <c r="D19" s="111">
        <f>-Inputs_SupplyCurve!AP40/1000</f>
        <v>-27.18265446536002</v>
      </c>
      <c r="E19" s="111">
        <f>-(Inputs_SupplyCurve!AQ40+Inputs_SupplyCurve!AR40)/1000-RefTables!D295</f>
        <v>-18.439694888057417</v>
      </c>
      <c r="F19" s="7">
        <f>RefTables!$F$80/1000</f>
        <v>99.970249999999993</v>
      </c>
      <c r="G19" s="4">
        <f>RefTables!$F$127/1000</f>
        <v>36.795041666666663</v>
      </c>
      <c r="H19" s="238">
        <f t="shared" si="0"/>
        <v>8.8091240740660481</v>
      </c>
      <c r="I19" s="263">
        <f t="shared" si="1"/>
        <v>0.93558947619885735</v>
      </c>
      <c r="J19" s="343">
        <f t="shared" si="4"/>
        <v>0</v>
      </c>
      <c r="K19" s="346">
        <f>Inputs_JanElectric!I27+UPDATES!L21</f>
        <v>43.434975542857131</v>
      </c>
      <c r="L19" s="7">
        <f>RefTables!$F$126/1000</f>
        <v>18.940624999999997</v>
      </c>
      <c r="M19" s="4">
        <f>RefTables!$F$125/1000</f>
        <v>12.191666666666666</v>
      </c>
      <c r="N19" s="4"/>
      <c r="O19" s="4"/>
      <c r="P19" s="8">
        <f>BalancingMeasures!$N$15*$S19</f>
        <v>24.999999999999996</v>
      </c>
      <c r="Q19" s="238">
        <f t="shared" si="2"/>
        <v>12.697316123809529</v>
      </c>
      <c r="R19" s="243">
        <f t="shared" si="3"/>
        <v>0.77379658398394513</v>
      </c>
      <c r="S19" s="107">
        <v>6</v>
      </c>
      <c r="T19" s="107"/>
      <c r="U19" s="107"/>
      <c r="V19" s="107"/>
      <c r="W19" s="158"/>
      <c r="X19" s="159"/>
      <c r="Y19" s="159"/>
      <c r="Z19" s="158"/>
    </row>
    <row r="20" spans="2:26" x14ac:dyDescent="0.35">
      <c r="B20" s="10">
        <v>2027</v>
      </c>
      <c r="C20" s="7">
        <f>RefTables!D35+RefTables!$F$49*RefTables!$F$57/1000</f>
        <v>174.42883757074813</v>
      </c>
      <c r="D20" s="111">
        <f>-Inputs_SupplyCurve!AP41/1000</f>
        <v>-28.304050867980358</v>
      </c>
      <c r="E20" s="111">
        <f>-(Inputs_SupplyCurve!AQ41+Inputs_SupplyCurve!AR41)/1000-RefTables!D296</f>
        <v>-19.464641309008208</v>
      </c>
      <c r="F20" s="7">
        <f>RefTables!$F$80/1000</f>
        <v>99.970249999999993</v>
      </c>
      <c r="G20" s="4">
        <f>RefTables!$F$127/1000</f>
        <v>36.795041666666663</v>
      </c>
      <c r="H20" s="238">
        <f t="shared" si="0"/>
        <v>10.105146272907092</v>
      </c>
      <c r="I20" s="263">
        <f t="shared" si="1"/>
        <v>0.92611322544073527</v>
      </c>
      <c r="J20" s="343">
        <f t="shared" si="4"/>
        <v>0</v>
      </c>
      <c r="K20" s="346">
        <f>Inputs_JanElectric!I28+UPDATES!L22</f>
        <v>38.694901299999984</v>
      </c>
      <c r="L20" s="7">
        <f>RefTables!$F$126/1000</f>
        <v>18.940624999999997</v>
      </c>
      <c r="M20" s="4">
        <f>RefTables!$F$125/1000</f>
        <v>12.191666666666666</v>
      </c>
      <c r="N20" s="4"/>
      <c r="O20" s="4"/>
      <c r="P20" s="8">
        <f>BalancingMeasures!$N$15*$S20</f>
        <v>24.999999999999996</v>
      </c>
      <c r="Q20" s="238">
        <f t="shared" si="2"/>
        <v>17.437390366666676</v>
      </c>
      <c r="R20" s="243">
        <f t="shared" si="3"/>
        <v>0.68935188910126721</v>
      </c>
      <c r="S20" s="107">
        <v>6</v>
      </c>
      <c r="T20" s="107"/>
      <c r="U20" s="107"/>
      <c r="V20" s="107"/>
      <c r="W20" s="158"/>
      <c r="X20" s="159"/>
      <c r="Y20" s="159"/>
      <c r="Z20" s="158"/>
    </row>
    <row r="21" spans="2:26" x14ac:dyDescent="0.35">
      <c r="B21" s="10">
        <v>2028</v>
      </c>
      <c r="C21" s="7">
        <f>RefTables!D36+RefTables!$F$49*RefTables!$F$57/1000</f>
        <v>175.28340979860184</v>
      </c>
      <c r="D21" s="111">
        <f>-Inputs_SupplyCurve!AP42/1000</f>
        <v>-29.448208457740751</v>
      </c>
      <c r="E21" s="111">
        <f>-(Inputs_SupplyCurve!AQ42+Inputs_SupplyCurve!AR42)/1000-RefTables!D297</f>
        <v>-20.489587729959002</v>
      </c>
      <c r="F21" s="7">
        <f>RefTables!$F$80/1000</f>
        <v>99.970249999999993</v>
      </c>
      <c r="G21" s="4">
        <f>RefTables!$F$127/1000</f>
        <v>36.795041666666663</v>
      </c>
      <c r="H21" s="238">
        <f t="shared" si="0"/>
        <v>11.419678055764564</v>
      </c>
      <c r="I21" s="263">
        <f t="shared" si="1"/>
        <v>0.91650163636840443</v>
      </c>
      <c r="J21" s="343">
        <f t="shared" si="4"/>
        <v>0</v>
      </c>
      <c r="K21" s="346">
        <f>Inputs_JanElectric!I29+UPDATES!L23</f>
        <v>41.155457057142847</v>
      </c>
      <c r="L21" s="7">
        <f>RefTables!$F$126/1000</f>
        <v>18.940624999999997</v>
      </c>
      <c r="M21" s="4">
        <f>RefTables!$F$125/1000</f>
        <v>12.191666666666666</v>
      </c>
      <c r="N21" s="4"/>
      <c r="O21" s="4"/>
      <c r="P21" s="8">
        <f>BalancingMeasures!$N$15*$S21</f>
        <v>24.999999999999996</v>
      </c>
      <c r="Q21" s="238">
        <f t="shared" si="2"/>
        <v>14.976834609523813</v>
      </c>
      <c r="R21" s="243">
        <f t="shared" si="3"/>
        <v>0.7331868312367944</v>
      </c>
      <c r="S21" s="107">
        <v>6</v>
      </c>
      <c r="T21" s="107"/>
      <c r="U21" s="107"/>
      <c r="V21" s="107"/>
      <c r="W21" s="158"/>
      <c r="X21" s="159"/>
      <c r="Y21" s="159"/>
      <c r="Z21" s="158"/>
    </row>
    <row r="22" spans="2:26" x14ac:dyDescent="0.35">
      <c r="B22" s="10">
        <v>2029</v>
      </c>
      <c r="C22" s="7">
        <f>RefTables!D37+RefTables!$F$49*RefTables!$F$57/1000</f>
        <v>176.14225488759482</v>
      </c>
      <c r="D22" s="111">
        <f>-Inputs_SupplyCurve!AP43/1000</f>
        <v>-30.452912216197198</v>
      </c>
      <c r="E22" s="111">
        <f>-(Inputs_SupplyCurve!AQ43+Inputs_SupplyCurve!AR43)/1000-RefTables!D298</f>
        <v>-21.514534150909792</v>
      </c>
      <c r="F22" s="7">
        <f>RefTables!$F$80/1000</f>
        <v>99.970249999999993</v>
      </c>
      <c r="G22" s="4">
        <f>RefTables!$F$127/1000</f>
        <v>36.795041666666663</v>
      </c>
      <c r="H22" s="238">
        <f t="shared" si="0"/>
        <v>12.59048314617884</v>
      </c>
      <c r="I22" s="263">
        <f t="shared" si="1"/>
        <v>0.90794094764287714</v>
      </c>
      <c r="J22" s="343">
        <f t="shared" si="4"/>
        <v>0</v>
      </c>
      <c r="K22" s="346">
        <f>Inputs_JanElectric!I30+UPDATES!L24</f>
        <v>44.814832814285708</v>
      </c>
      <c r="L22" s="7">
        <f>RefTables!$F$126/1000</f>
        <v>18.940624999999997</v>
      </c>
      <c r="M22" s="4">
        <f>RefTables!$F$125/1000</f>
        <v>12.191666666666666</v>
      </c>
      <c r="N22" s="4"/>
      <c r="O22" s="4"/>
      <c r="P22" s="8">
        <f>BalancingMeasures!$N$15*$S22</f>
        <v>24.999999999999996</v>
      </c>
      <c r="Q22" s="238">
        <f t="shared" si="2"/>
        <v>11.317458852380952</v>
      </c>
      <c r="R22" s="243">
        <f t="shared" si="3"/>
        <v>0.79837882052655162</v>
      </c>
      <c r="S22" s="107">
        <v>6</v>
      </c>
      <c r="T22" s="107"/>
      <c r="U22" s="107"/>
      <c r="V22" s="107"/>
      <c r="W22" s="158"/>
      <c r="X22" s="159"/>
      <c r="Y22" s="159"/>
      <c r="Z22" s="158"/>
    </row>
    <row r="23" spans="2:26" ht="18" thickBot="1" x14ac:dyDescent="0.4">
      <c r="B23" s="11">
        <v>2030</v>
      </c>
      <c r="C23" s="12">
        <f>RefTables!D38+RefTables!$F$49*RefTables!$F$57/1000</f>
        <v>177.00539420203276</v>
      </c>
      <c r="D23" s="112">
        <f>-Inputs_SupplyCurve!AP44/1000</f>
        <v>-31.418873807243386</v>
      </c>
      <c r="E23" s="112">
        <f>-(Inputs_SupplyCurve!AQ44+Inputs_SupplyCurve!AR44)/1000-RefTables!D299</f>
        <v>-22.53948057186058</v>
      </c>
      <c r="F23" s="12">
        <f>RefTables!$F$80/1000</f>
        <v>99.970249999999993</v>
      </c>
      <c r="G23" s="13">
        <f>RefTables!$F$127/1000</f>
        <v>36.795041666666663</v>
      </c>
      <c r="H23" s="239">
        <f t="shared" si="0"/>
        <v>13.71825184373786</v>
      </c>
      <c r="I23" s="264">
        <f t="shared" si="1"/>
        <v>0.89969493227000252</v>
      </c>
      <c r="J23" s="344">
        <f t="shared" si="4"/>
        <v>0</v>
      </c>
      <c r="K23" s="347">
        <f>Inputs_JanElectric!I31+UPDATES!L25</f>
        <v>38.571108571428567</v>
      </c>
      <c r="L23" s="12">
        <f>RefTables!$F$126/1000</f>
        <v>18.940624999999997</v>
      </c>
      <c r="M23" s="13">
        <f>RefTables!$F$125/1000</f>
        <v>12.191666666666666</v>
      </c>
      <c r="N23" s="13"/>
      <c r="O23" s="13"/>
      <c r="P23" s="14">
        <f>BalancingMeasures!$N$15*$S23</f>
        <v>24.999999999999996</v>
      </c>
      <c r="Q23" s="239">
        <f t="shared" si="2"/>
        <v>17.561183095238093</v>
      </c>
      <c r="R23" s="252">
        <f t="shared" si="3"/>
        <v>0.6871465145317317</v>
      </c>
      <c r="S23" s="107">
        <v>6</v>
      </c>
      <c r="T23" s="107"/>
      <c r="U23" s="107"/>
      <c r="V23" s="107"/>
      <c r="W23" s="158"/>
      <c r="X23" s="159"/>
      <c r="Y23" s="159"/>
      <c r="Z23" s="158"/>
    </row>
    <row r="25" spans="2:26" ht="21.75" x14ac:dyDescent="0.45">
      <c r="B25" s="440" t="s">
        <v>3</v>
      </c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185"/>
      <c r="T25" s="185"/>
    </row>
    <row r="26" spans="2:26" ht="18" thickBot="1" x14ac:dyDescent="0.4">
      <c r="B26" s="2"/>
      <c r="C26" s="2"/>
      <c r="D26" s="184"/>
      <c r="E26" s="184"/>
      <c r="F26" s="75"/>
      <c r="G26" s="2"/>
      <c r="H26" s="2"/>
      <c r="I26" s="2"/>
    </row>
    <row r="27" spans="2:26" ht="19.5" customHeight="1" x14ac:dyDescent="0.4">
      <c r="B27" s="460" t="s">
        <v>549</v>
      </c>
      <c r="C27" s="454" t="s">
        <v>435</v>
      </c>
      <c r="D27" s="455"/>
      <c r="E27" s="455"/>
      <c r="F27" s="437" t="s">
        <v>551</v>
      </c>
      <c r="G27" s="438"/>
      <c r="H27" s="433" t="s">
        <v>1</v>
      </c>
      <c r="J27" s="456" t="s">
        <v>347</v>
      </c>
      <c r="K27" s="452" t="s">
        <v>435</v>
      </c>
      <c r="L27" s="453"/>
      <c r="M27" s="453"/>
      <c r="N27" s="435" t="s">
        <v>551</v>
      </c>
      <c r="O27" s="439"/>
      <c r="P27" s="435" t="s">
        <v>1</v>
      </c>
      <c r="Q27" s="435" t="s">
        <v>559</v>
      </c>
      <c r="R27" s="441"/>
    </row>
    <row r="28" spans="2:26" ht="52.5" customHeight="1" thickBot="1" x14ac:dyDescent="0.4">
      <c r="B28" s="461"/>
      <c r="C28" s="156" t="s">
        <v>456</v>
      </c>
      <c r="D28" s="157" t="s">
        <v>425</v>
      </c>
      <c r="E28" s="157" t="s">
        <v>20</v>
      </c>
      <c r="F28" s="350" t="s">
        <v>267</v>
      </c>
      <c r="G28" s="348" t="s">
        <v>106</v>
      </c>
      <c r="H28" s="434"/>
      <c r="J28" s="457"/>
      <c r="K28" s="154" t="s">
        <v>456</v>
      </c>
      <c r="L28" s="155" t="s">
        <v>425</v>
      </c>
      <c r="M28" s="155" t="s">
        <v>20</v>
      </c>
      <c r="N28" s="351" t="s">
        <v>537</v>
      </c>
      <c r="O28" s="349" t="s">
        <v>106</v>
      </c>
      <c r="P28" s="436"/>
      <c r="Q28" s="154" t="s">
        <v>560</v>
      </c>
      <c r="R28" s="357" t="s">
        <v>558</v>
      </c>
    </row>
    <row r="29" spans="2:26" x14ac:dyDescent="0.35">
      <c r="B29" s="9">
        <v>2015</v>
      </c>
      <c r="C29" s="5">
        <f>RefTables!C23/1000+(RefTables!$F$49*RefTables!$F$57/RefTables!E23)*10^-6</f>
        <v>262.16001363122507</v>
      </c>
      <c r="D29" s="110">
        <f>-Inputs_SupplyCurve!AB29*10^-6</f>
        <v>-14.748059417778327</v>
      </c>
      <c r="E29" s="110">
        <f>-(Inputs_SupplyCurve!AC29+Inputs_SupplyCurve!AD29)*10^-6-RefTables!C284</f>
        <v>-11.962991313571806</v>
      </c>
      <c r="F29" s="342">
        <f>Inputs_AnnualElectric!U16*10^-6+UPDATES!T10</f>
        <v>182.04809</v>
      </c>
      <c r="G29" s="345">
        <f t="shared" ref="G29:G44" si="5">-O8/1000</f>
        <v>-3.5839999999999999E-3</v>
      </c>
      <c r="H29" s="278">
        <f t="shared" ref="H29:H44" si="6">SUM(C29:E29,F29,G29)</f>
        <v>417.49346889987493</v>
      </c>
      <c r="I29" s="77"/>
      <c r="J29" s="9">
        <v>2015</v>
      </c>
      <c r="K29" s="5">
        <f>C29*RefTables!$O139</f>
        <v>13.786087607379818</v>
      </c>
      <c r="L29" s="3">
        <f>D29*RefTables!$O139</f>
        <v>-0.77554939197683359</v>
      </c>
      <c r="M29" s="3">
        <f>E29*RefTables!$O139</f>
        <v>-0.6290923013424089</v>
      </c>
      <c r="N29" s="342">
        <f>Inputs_AnnualElectric!V16*10^-6+UPDATES!P10</f>
        <v>18.3419064404269</v>
      </c>
      <c r="O29" s="345">
        <f>O8*RefTables!I165/1000</f>
        <v>8.7403251841546467E-5</v>
      </c>
      <c r="P29" s="342">
        <f t="shared" ref="P29:P44" si="7">SUM(K29:M29,N29,O29)</f>
        <v>30.723439757739317</v>
      </c>
      <c r="Q29" s="5" t="s">
        <v>561</v>
      </c>
      <c r="R29" s="358" t="s">
        <v>561</v>
      </c>
    </row>
    <row r="30" spans="2:26" x14ac:dyDescent="0.35">
      <c r="B30" s="10">
        <v>2016</v>
      </c>
      <c r="C30" s="7">
        <f>RefTables!C24/1000+(RefTables!$F$49*RefTables!$F$57/RefTables!E24)*10^-6</f>
        <v>266.66263355879875</v>
      </c>
      <c r="D30" s="111">
        <f>-Inputs_SupplyCurve!AB30*10^-6</f>
        <v>-19.307915165203109</v>
      </c>
      <c r="E30" s="111">
        <f>-(Inputs_SupplyCurve!AC30+Inputs_SupplyCurve!AD30)*10^-6-RefTables!C285</f>
        <v>-13.671765386939207</v>
      </c>
      <c r="F30" s="343">
        <f>Inputs_AnnualElectric!U17*10^-6+UPDATES!T11</f>
        <v>183.86755479999999</v>
      </c>
      <c r="G30" s="346">
        <f t="shared" si="5"/>
        <v>0</v>
      </c>
      <c r="H30" s="279">
        <f t="shared" si="6"/>
        <v>417.55050780665647</v>
      </c>
      <c r="I30" s="77"/>
      <c r="J30" s="10">
        <v>2016</v>
      </c>
      <c r="K30" s="7">
        <f>C30*RefTables!$O140</f>
        <v>14.023318260131667</v>
      </c>
      <c r="L30" s="4">
        <f>D30*RefTables!$O140</f>
        <v>-1.0153692539812236</v>
      </c>
      <c r="M30" s="4">
        <f>E30*RefTables!$O140</f>
        <v>-0.7189740633706968</v>
      </c>
      <c r="N30" s="343">
        <f>Inputs_AnnualElectric!V17*10^-6+UPDATES!P11</f>
        <v>17.949333286422526</v>
      </c>
      <c r="O30" s="346">
        <f>O9*RefTables!I166/1000</f>
        <v>0</v>
      </c>
      <c r="P30" s="343">
        <f t="shared" si="7"/>
        <v>30.238308229202275</v>
      </c>
      <c r="Q30" s="7" t="s">
        <v>561</v>
      </c>
      <c r="R30" s="359" t="s">
        <v>561</v>
      </c>
    </row>
    <row r="31" spans="2:26" x14ac:dyDescent="0.35">
      <c r="B31" s="10">
        <v>2017</v>
      </c>
      <c r="C31" s="7">
        <f>RefTables!C25/1000+(RefTables!$F$49*RefTables!$F$57/RefTables!E25)*10^-6</f>
        <v>269.91601236696005</v>
      </c>
      <c r="D31" s="111">
        <f>-Inputs_SupplyCurve!AB31*10^-6</f>
        <v>-23.158718860387786</v>
      </c>
      <c r="E31" s="111">
        <f>-(Inputs_SupplyCurve!AC31+Inputs_SupplyCurve!AD31)*10^-6-RefTables!C286</f>
        <v>-15.380539460306608</v>
      </c>
      <c r="F31" s="343">
        <f>Inputs_AnnualElectric!U18*10^-6+UPDATES!T12</f>
        <v>189.18826959999998</v>
      </c>
      <c r="G31" s="346">
        <f t="shared" si="5"/>
        <v>0</v>
      </c>
      <c r="H31" s="279">
        <f t="shared" si="6"/>
        <v>420.56502364626567</v>
      </c>
      <c r="I31" s="77"/>
      <c r="J31" s="10">
        <v>2017</v>
      </c>
      <c r="K31" s="7">
        <f>C31*RefTables!$O141</f>
        <v>14.194624727085387</v>
      </c>
      <c r="L31" s="4">
        <f>D31*RefTables!$O141</f>
        <v>-1.2178948573690411</v>
      </c>
      <c r="M31" s="4">
        <f>E31*RefTables!$O141</f>
        <v>-0.80884784798304532</v>
      </c>
      <c r="N31" s="343">
        <f>Inputs_AnnualElectric!V18*10^-6+UPDATES!P12</f>
        <v>16.928488946398865</v>
      </c>
      <c r="O31" s="346">
        <f>O10*RefTables!I167/1000</f>
        <v>0</v>
      </c>
      <c r="P31" s="343">
        <f t="shared" si="7"/>
        <v>29.096370968132163</v>
      </c>
      <c r="Q31" s="7" t="s">
        <v>561</v>
      </c>
      <c r="R31" s="359" t="s">
        <v>561</v>
      </c>
    </row>
    <row r="32" spans="2:26" x14ac:dyDescent="0.35">
      <c r="B32" s="10">
        <v>2018</v>
      </c>
      <c r="C32" s="7">
        <f>RefTables!C26/1000+(RefTables!$F$49*RefTables!$F$57/RefTables!E26)*10^-6</f>
        <v>273.65353546042417</v>
      </c>
      <c r="D32" s="111">
        <f>-Inputs_SupplyCurve!AB32*10^-6</f>
        <v>-26.774935019651814</v>
      </c>
      <c r="E32" s="111">
        <f>-(Inputs_SupplyCurve!AC32+Inputs_SupplyCurve!AD32)*10^-6-RefTables!C287</f>
        <v>-17.089313533674009</v>
      </c>
      <c r="F32" s="343">
        <f>Inputs_AnnualElectric!U19*10^-6+UPDATES!T13</f>
        <v>186.78805439999999</v>
      </c>
      <c r="G32" s="346">
        <f t="shared" si="5"/>
        <v>0</v>
      </c>
      <c r="H32" s="279">
        <f t="shared" si="6"/>
        <v>416.57734130709832</v>
      </c>
      <c r="I32" s="77"/>
      <c r="J32" s="10">
        <v>2018</v>
      </c>
      <c r="K32" s="7">
        <f>C32*RefTables!$O142</f>
        <v>14.392299716320712</v>
      </c>
      <c r="L32" s="4">
        <f>D32*RefTables!$O142</f>
        <v>-1.4081780052265034</v>
      </c>
      <c r="M32" s="4">
        <f>E32*RefTables!$O142</f>
        <v>-0.89878072252562635</v>
      </c>
      <c r="N32" s="343">
        <f>Inputs_AnnualElectric!V19*10^-6+UPDATES!P13</f>
        <v>15.800993488325583</v>
      </c>
      <c r="O32" s="346">
        <f>O11*RefTables!I168/1000</f>
        <v>0</v>
      </c>
      <c r="P32" s="343">
        <f t="shared" si="7"/>
        <v>27.886334476894163</v>
      </c>
      <c r="Q32" s="7" t="s">
        <v>561</v>
      </c>
      <c r="R32" s="359" t="s">
        <v>561</v>
      </c>
    </row>
    <row r="33" spans="2:18" x14ac:dyDescent="0.35">
      <c r="B33" s="10">
        <v>2019</v>
      </c>
      <c r="C33" s="7">
        <f>RefTables!C27/1000+(RefTables!$F$49*RefTables!$F$57/RefTables!E27)*10^-6</f>
        <v>277.53709599613234</v>
      </c>
      <c r="D33" s="111">
        <f>-Inputs_SupplyCurve!AB33*10^-6</f>
        <v>-30.396762582542703</v>
      </c>
      <c r="E33" s="111">
        <f>-(Inputs_SupplyCurve!AC33+Inputs_SupplyCurve!AD33)*10^-6-RefTables!C288</f>
        <v>-18.79808760704141</v>
      </c>
      <c r="F33" s="343">
        <f>Inputs_AnnualElectric!U20*10^-6+UPDATES!T14</f>
        <v>188.82941919999999</v>
      </c>
      <c r="G33" s="346">
        <f t="shared" si="5"/>
        <v>0</v>
      </c>
      <c r="H33" s="279">
        <f t="shared" si="6"/>
        <v>417.17166500654821</v>
      </c>
      <c r="I33" s="77"/>
      <c r="J33" s="10">
        <v>2019</v>
      </c>
      <c r="K33" s="7">
        <f>C33*RefTables!$O143</f>
        <v>14.597233580002769</v>
      </c>
      <c r="L33" s="4">
        <f>D33*RefTables!$O143</f>
        <v>-1.5987363487418178</v>
      </c>
      <c r="M33" s="4">
        <f>E33*RefTables!$O143</f>
        <v>-0.98869693318821317</v>
      </c>
      <c r="N33" s="343">
        <f>Inputs_AnnualElectric!V20*10^-6+UPDATES!P14</f>
        <v>15.588036411689203</v>
      </c>
      <c r="O33" s="346">
        <f>O12*RefTables!I169/1000</f>
        <v>0</v>
      </c>
      <c r="P33" s="343">
        <f t="shared" si="7"/>
        <v>27.597836709761939</v>
      </c>
      <c r="Q33" s="7" t="s">
        <v>561</v>
      </c>
      <c r="R33" s="359" t="s">
        <v>561</v>
      </c>
    </row>
    <row r="34" spans="2:18" x14ac:dyDescent="0.35">
      <c r="B34" s="10">
        <v>2020</v>
      </c>
      <c r="C34" s="7">
        <f>RefTables!C28/1000+(RefTables!$F$49*RefTables!$F$57/RefTables!E28)*10^-6</f>
        <v>278.89570810406974</v>
      </c>
      <c r="D34" s="111">
        <f>-Inputs_SupplyCurve!AB34*10^-6</f>
        <v>-34.099856575886072</v>
      </c>
      <c r="E34" s="111">
        <f>-(Inputs_SupplyCurve!AC34+Inputs_SupplyCurve!AD34)*10^-6-RefTables!C289</f>
        <v>-20.506861680408811</v>
      </c>
      <c r="F34" s="343">
        <f>Inputs_AnnualElectric!U21*10^-6+UPDATES!T15</f>
        <v>232.45299399999999</v>
      </c>
      <c r="G34" s="346">
        <f t="shared" si="5"/>
        <v>0</v>
      </c>
      <c r="H34" s="279">
        <f t="shared" si="6"/>
        <v>456.74198384777486</v>
      </c>
      <c r="I34" s="77"/>
      <c r="J34" s="10">
        <v>2020</v>
      </c>
      <c r="K34" s="7">
        <f>C34*RefTables!$O144</f>
        <v>14.669979949578757</v>
      </c>
      <c r="L34" s="4">
        <f>D34*RefTables!$O144</f>
        <v>-1.7936604892646615</v>
      </c>
      <c r="M34" s="4">
        <f>E34*RefTables!$O144</f>
        <v>-1.0786657554734607</v>
      </c>
      <c r="N34" s="343">
        <f>Inputs_AnnualElectric!V21*10^-6+UPDATES!P15</f>
        <v>14.870833992247739</v>
      </c>
      <c r="O34" s="346">
        <f>O13*RefTables!I170/1000</f>
        <v>0</v>
      </c>
      <c r="P34" s="238">
        <f t="shared" si="7"/>
        <v>26.668487697088374</v>
      </c>
      <c r="Q34" s="7">
        <f>RefTables!$F$227</f>
        <v>23.326496260794567</v>
      </c>
      <c r="R34" s="360" t="str">
        <f>IF(P34&lt;=Q34,"Yes","No")</f>
        <v>No</v>
      </c>
    </row>
    <row r="35" spans="2:18" x14ac:dyDescent="0.35">
      <c r="B35" s="10">
        <v>2021</v>
      </c>
      <c r="C35" s="7">
        <f>RefTables!C29/1000+(RefTables!$F$49*RefTables!$F$57/RefTables!E29)*10^-6</f>
        <v>280.26111327254694</v>
      </c>
      <c r="D35" s="111">
        <f>-Inputs_SupplyCurve!AB35*10^-6</f>
        <v>-37.20299143522945</v>
      </c>
      <c r="E35" s="111">
        <f>-(Inputs_SupplyCurve!AC35+Inputs_SupplyCurve!AD35)*10^-6-RefTables!C290</f>
        <v>-22.045303672914631</v>
      </c>
      <c r="F35" s="343">
        <f>Inputs_AnnualElectric!U22*10^-6+UPDATES!T16</f>
        <v>210.9860086952381</v>
      </c>
      <c r="G35" s="346">
        <f t="shared" si="5"/>
        <v>0</v>
      </c>
      <c r="H35" s="279">
        <f t="shared" si="6"/>
        <v>431.99882685964099</v>
      </c>
      <c r="I35" s="77"/>
      <c r="J35" s="10">
        <v>2021</v>
      </c>
      <c r="K35" s="7">
        <f>C35*RefTables!$O145</f>
        <v>14.744523354157211</v>
      </c>
      <c r="L35" s="4">
        <f>D35*RefTables!$O145</f>
        <v>-1.9572475455337592</v>
      </c>
      <c r="M35" s="4">
        <f>E35*RefTables!$O145</f>
        <v>-1.1598023395371193</v>
      </c>
      <c r="N35" s="343">
        <f>Inputs_AnnualElectric!V22*10^-6+UPDATES!P16</f>
        <v>13.111178333030766</v>
      </c>
      <c r="O35" s="346">
        <f>O14*RefTables!I171/1000</f>
        <v>0</v>
      </c>
      <c r="P35" s="343">
        <f t="shared" si="7"/>
        <v>24.738651802117097</v>
      </c>
      <c r="Q35" s="7" t="s">
        <v>561</v>
      </c>
      <c r="R35" s="359" t="s">
        <v>561</v>
      </c>
    </row>
    <row r="36" spans="2:18" x14ac:dyDescent="0.35">
      <c r="B36" s="10">
        <v>2022</v>
      </c>
      <c r="C36" s="7">
        <f>RefTables!C30/1000+(RefTables!$F$49*RefTables!$F$57/RefTables!E30)*10^-6</f>
        <v>281.63334546686644</v>
      </c>
      <c r="D36" s="111">
        <f>-Inputs_SupplyCurve!AB36*10^-6</f>
        <v>-40.304741314849821</v>
      </c>
      <c r="E36" s="111">
        <f>-(Inputs_SupplyCurve!AC36+Inputs_SupplyCurve!AD36)*10^-6-RefTables!C291</f>
        <v>-23.583745665420459</v>
      </c>
      <c r="F36" s="343">
        <f>Inputs_AnnualElectric!U23*10^-6+UPDATES!T17</f>
        <v>189.97811339047618</v>
      </c>
      <c r="G36" s="346">
        <f t="shared" si="5"/>
        <v>0</v>
      </c>
      <c r="H36" s="279">
        <f t="shared" si="6"/>
        <v>407.72297187707238</v>
      </c>
      <c r="I36" s="77"/>
      <c r="J36" s="10">
        <v>2022</v>
      </c>
      <c r="K36" s="7">
        <f>C36*RefTables!$O146</f>
        <v>14.820700159149807</v>
      </c>
      <c r="L36" s="4">
        <f>D36*RefTables!$O146</f>
        <v>-2.1210005691238818</v>
      </c>
      <c r="M36" s="4">
        <f>E36*RefTables!$O146</f>
        <v>-1.2410732917916025</v>
      </c>
      <c r="N36" s="343">
        <f>Inputs_AnnualElectric!V23*10^-6+UPDATES!P17</f>
        <v>11.256901839899193</v>
      </c>
      <c r="O36" s="346">
        <f>O15*RefTables!I172/1000</f>
        <v>0</v>
      </c>
      <c r="P36" s="343">
        <f t="shared" si="7"/>
        <v>22.715528138133514</v>
      </c>
      <c r="Q36" s="7" t="s">
        <v>561</v>
      </c>
      <c r="R36" s="359" t="s">
        <v>561</v>
      </c>
    </row>
    <row r="37" spans="2:18" x14ac:dyDescent="0.35">
      <c r="B37" s="10">
        <v>2023</v>
      </c>
      <c r="C37" s="7">
        <f>RefTables!C31/1000+(RefTables!$F$49*RefTables!$F$57/RefTables!E31)*10^-6</f>
        <v>283.01243882215761</v>
      </c>
      <c r="D37" s="111">
        <f>-Inputs_SupplyCurve!AB37*10^-6</f>
        <v>-42.647260704365458</v>
      </c>
      <c r="E37" s="111">
        <f>-(Inputs_SupplyCurve!AC37+Inputs_SupplyCurve!AD37)*10^-6-RefTables!C292</f>
        <v>-25.122187657926286</v>
      </c>
      <c r="F37" s="343">
        <f>Inputs_AnnualElectric!U24*10^-6+UPDATES!T18</f>
        <v>185.44738808571429</v>
      </c>
      <c r="G37" s="346">
        <f t="shared" si="5"/>
        <v>0</v>
      </c>
      <c r="H37" s="279">
        <f t="shared" si="6"/>
        <v>400.69037854558019</v>
      </c>
      <c r="I37" s="77"/>
      <c r="J37" s="10">
        <v>2023</v>
      </c>
      <c r="K37" s="7">
        <f>C37*RefTables!$O147</f>
        <v>14.898140021790372</v>
      </c>
      <c r="L37" s="4">
        <f>D37*RefTables!$O147</f>
        <v>-2.2450068419737983</v>
      </c>
      <c r="M37" s="4">
        <f>E37*RefTables!$O147</f>
        <v>-1.3224643797959352</v>
      </c>
      <c r="N37" s="343">
        <f>Inputs_AnnualElectric!V24*10^-6+UPDATES!P18</f>
        <v>9.8591753505429018</v>
      </c>
      <c r="O37" s="346">
        <f>O16*RefTables!I173/1000</f>
        <v>0</v>
      </c>
      <c r="P37" s="343">
        <f t="shared" si="7"/>
        <v>21.189844150563541</v>
      </c>
      <c r="Q37" s="7" t="s">
        <v>561</v>
      </c>
      <c r="R37" s="359" t="s">
        <v>561</v>
      </c>
    </row>
    <row r="38" spans="2:18" x14ac:dyDescent="0.35">
      <c r="B38" s="10">
        <v>2024</v>
      </c>
      <c r="C38" s="7">
        <f>RefTables!C32/1000+(RefTables!$F$49*RefTables!$F$57/RefTables!E32)*10^-6</f>
        <v>284.39842764422514</v>
      </c>
      <c r="D38" s="111">
        <f>-Inputs_SupplyCurve!AB38*10^-6</f>
        <v>-45.190576364933563</v>
      </c>
      <c r="E38" s="111">
        <f>-(Inputs_SupplyCurve!AC38+Inputs_SupplyCurve!AD38)*10^-6-RefTables!C293</f>
        <v>-26.660629650432114</v>
      </c>
      <c r="F38" s="343">
        <f>Inputs_AnnualElectric!U25*10^-6+UPDATES!T19</f>
        <v>189.57769278095239</v>
      </c>
      <c r="G38" s="346">
        <f t="shared" si="5"/>
        <v>0</v>
      </c>
      <c r="H38" s="279">
        <f t="shared" si="6"/>
        <v>402.12491440981182</v>
      </c>
      <c r="I38" s="77"/>
      <c r="J38" s="10">
        <v>2024</v>
      </c>
      <c r="K38" s="7">
        <f>C38*RefTables!$O148</f>
        <v>14.978332305599096</v>
      </c>
      <c r="L38" s="4">
        <f>D38*RefTables!$O148</f>
        <v>-2.3800394238546407</v>
      </c>
      <c r="M38" s="4">
        <f>E38*RefTables!$O148</f>
        <v>-1.4041279119877339</v>
      </c>
      <c r="N38" s="343">
        <f>Inputs_AnnualElectric!V25*10^-6+UPDATES!P19</f>
        <v>8.3021877388497458</v>
      </c>
      <c r="O38" s="346">
        <f>O17*RefTables!I174/1000</f>
        <v>0</v>
      </c>
      <c r="P38" s="343">
        <f t="shared" si="7"/>
        <v>19.496352708606466</v>
      </c>
      <c r="Q38" s="7" t="s">
        <v>561</v>
      </c>
      <c r="R38" s="359" t="s">
        <v>561</v>
      </c>
    </row>
    <row r="39" spans="2:18" x14ac:dyDescent="0.35">
      <c r="B39" s="10">
        <v>2025</v>
      </c>
      <c r="C39" s="7">
        <f>RefTables!C33/1000+(RefTables!$F$49*RefTables!$F$57/RefTables!E33)*10^-6</f>
        <v>285.79134641040304</v>
      </c>
      <c r="D39" s="111">
        <f>-Inputs_SupplyCurve!AB39*10^-6</f>
        <v>-47.621467130335922</v>
      </c>
      <c r="E39" s="111">
        <f>-(Inputs_SupplyCurve!AC39+Inputs_SupplyCurve!AD39)*10^-6-RefTables!C294</f>
        <v>-28.199071642937941</v>
      </c>
      <c r="F39" s="343">
        <f>Inputs_AnnualElectric!U26*10^-6+UPDATES!T20</f>
        <v>181.46516747619049</v>
      </c>
      <c r="G39" s="346">
        <f t="shared" si="5"/>
        <v>0</v>
      </c>
      <c r="H39" s="279">
        <f t="shared" si="6"/>
        <v>391.43597511331961</v>
      </c>
      <c r="I39" s="77"/>
      <c r="J39" s="10">
        <v>2025</v>
      </c>
      <c r="K39" s="7">
        <f>C39*RefTables!$O149</f>
        <v>15.060203172349356</v>
      </c>
      <c r="L39" s="4">
        <f>D39*RefTables!$O149</f>
        <v>-2.5094845570247446</v>
      </c>
      <c r="M39" s="4">
        <f>E39*RefTables!$O149</f>
        <v>-1.4859923281386729</v>
      </c>
      <c r="N39" s="343">
        <f>Inputs_AnnualElectric!V26*10^-6+UPDATES!P20</f>
        <v>6.8998329097260624</v>
      </c>
      <c r="O39" s="346">
        <f>O18*RefTables!I175/1000</f>
        <v>0</v>
      </c>
      <c r="P39" s="343">
        <f t="shared" si="7"/>
        <v>17.964559196911999</v>
      </c>
      <c r="Q39" s="7" t="s">
        <v>561</v>
      </c>
      <c r="R39" s="359" t="s">
        <v>561</v>
      </c>
    </row>
    <row r="40" spans="2:18" x14ac:dyDescent="0.35">
      <c r="B40" s="10">
        <v>2026</v>
      </c>
      <c r="C40" s="7">
        <f>RefTables!C34/1000+(RefTables!$F$49*RefTables!$F$57/RefTables!E34)*10^-6</f>
        <v>287.19122977041189</v>
      </c>
      <c r="D40" s="111">
        <f>-Inputs_SupplyCurve!AB40*10^-6</f>
        <v>-50.005211154476285</v>
      </c>
      <c r="E40" s="111">
        <f>-(Inputs_SupplyCurve!AC40+Inputs_SupplyCurve!AD40)*10^-6-RefTables!C295</f>
        <v>-29.737513635443769</v>
      </c>
      <c r="F40" s="343">
        <f>Inputs_AnnualElectric!U27*10^-6+UPDATES!T21</f>
        <v>176.80092217142857</v>
      </c>
      <c r="G40" s="346">
        <f t="shared" si="5"/>
        <v>0</v>
      </c>
      <c r="H40" s="279">
        <f t="shared" si="6"/>
        <v>384.24942715192037</v>
      </c>
      <c r="I40" s="77"/>
      <c r="J40" s="10">
        <v>2026</v>
      </c>
      <c r="K40" s="7">
        <f>C40*RefTables!$O150</f>
        <v>15.1445745280541</v>
      </c>
      <c r="L40" s="4">
        <f>D40*RefTables!$O150</f>
        <v>-2.6369455910107686</v>
      </c>
      <c r="M40" s="4">
        <f>E40*RefTables!$O150</f>
        <v>-1.5681606708221354</v>
      </c>
      <c r="N40" s="343">
        <f>Inputs_AnnualElectric!V27*10^-6+UPDATES!P21</f>
        <v>5.3792226964972985</v>
      </c>
      <c r="O40" s="346">
        <f>O19*RefTables!I176/1000</f>
        <v>0</v>
      </c>
      <c r="P40" s="343">
        <f t="shared" si="7"/>
        <v>16.318690962718495</v>
      </c>
      <c r="Q40" s="7" t="s">
        <v>561</v>
      </c>
      <c r="R40" s="359" t="s">
        <v>561</v>
      </c>
    </row>
    <row r="41" spans="2:18" x14ac:dyDescent="0.35">
      <c r="B41" s="10">
        <v>2027</v>
      </c>
      <c r="C41" s="7">
        <f>RefTables!C35/1000+(RefTables!$F$49*RefTables!$F$57/RefTables!E35)*10^-6</f>
        <v>288.59811254722075</v>
      </c>
      <c r="D41" s="111">
        <f>-Inputs_SupplyCurve!AB41*10^-6</f>
        <v>-52.068131976736652</v>
      </c>
      <c r="E41" s="111">
        <f>-(Inputs_SupplyCurve!AC41+Inputs_SupplyCurve!AD41)*10^-6-RefTables!C296</f>
        <v>-31.275955627949596</v>
      </c>
      <c r="F41" s="343">
        <f>Inputs_AnnualElectric!U28*10^-6+UPDATES!T22</f>
        <v>166.02343686666666</v>
      </c>
      <c r="G41" s="346">
        <f t="shared" si="5"/>
        <v>0</v>
      </c>
      <c r="H41" s="279">
        <f t="shared" si="6"/>
        <v>371.27746180920116</v>
      </c>
      <c r="I41" s="77"/>
      <c r="J41" s="10">
        <v>2027</v>
      </c>
      <c r="K41" s="7">
        <f>C41*RefTables!$O151</f>
        <v>15.228800504361317</v>
      </c>
      <c r="L41" s="4">
        <f>D41*RefTables!$O151</f>
        <v>-2.7475411654978781</v>
      </c>
      <c r="M41" s="4">
        <f>E41*RefTables!$O151</f>
        <v>-1.6503756197066917</v>
      </c>
      <c r="N41" s="343">
        <f>Inputs_AnnualElectric!V28*10^-6+UPDATES!P22</f>
        <v>3.9583416398260418</v>
      </c>
      <c r="O41" s="346">
        <f>O20*RefTables!I177/1000</f>
        <v>0</v>
      </c>
      <c r="P41" s="343">
        <f t="shared" si="7"/>
        <v>14.789225358982788</v>
      </c>
      <c r="Q41" s="7" t="s">
        <v>561</v>
      </c>
      <c r="R41" s="359" t="s">
        <v>561</v>
      </c>
    </row>
    <row r="42" spans="2:18" x14ac:dyDescent="0.35">
      <c r="B42" s="10">
        <v>2028</v>
      </c>
      <c r="C42" s="7">
        <f>RefTables!C36/1000+(RefTables!$F$49*RefTables!$F$57/RefTables!E36)*10^-6</f>
        <v>290.01202973791362</v>
      </c>
      <c r="D42" s="111">
        <f>-Inputs_SupplyCurve!AB42*10^-6</f>
        <v>-54.172924278859867</v>
      </c>
      <c r="E42" s="111">
        <f>-(Inputs_SupplyCurve!AC42+Inputs_SupplyCurve!AD42)*10^-6-RefTables!C297</f>
        <v>-32.814397620455424</v>
      </c>
      <c r="F42" s="343">
        <f>Inputs_AnnualElectric!U29*10^-6+UPDATES!T23</f>
        <v>178.19030156190476</v>
      </c>
      <c r="G42" s="346">
        <f t="shared" si="5"/>
        <v>0</v>
      </c>
      <c r="H42" s="279">
        <f t="shared" si="6"/>
        <v>381.21500940050311</v>
      </c>
      <c r="I42" s="77"/>
      <c r="J42" s="10">
        <v>2028</v>
      </c>
      <c r="K42" s="7">
        <f>C42*RefTables!$O152</f>
        <v>15.322748535150183</v>
      </c>
      <c r="L42" s="4">
        <f>D42*RefTables!$O152</f>
        <v>-2.8622195323719866</v>
      </c>
      <c r="M42" s="4">
        <f>E42*RefTables!$O152</f>
        <v>-1.7337445054436529</v>
      </c>
      <c r="N42" s="343">
        <f>Inputs_AnnualElectric!V29*10^-6+UPDATES!P23</f>
        <v>2.8229902991819387</v>
      </c>
      <c r="O42" s="346">
        <f>O21*RefTables!I178/1000</f>
        <v>0</v>
      </c>
      <c r="P42" s="343">
        <f t="shared" si="7"/>
        <v>13.549774796516482</v>
      </c>
      <c r="Q42" s="7" t="s">
        <v>561</v>
      </c>
      <c r="R42" s="359" t="s">
        <v>561</v>
      </c>
    </row>
    <row r="43" spans="2:18" x14ac:dyDescent="0.35">
      <c r="B43" s="10">
        <v>2029</v>
      </c>
      <c r="C43" s="7">
        <f>RefTables!C37/1000+(RefTables!$F$49*RefTables!$F$57/RefTables!E37)*10^-6</f>
        <v>291.43301651455999</v>
      </c>
      <c r="D43" s="111">
        <f>-Inputs_SupplyCurve!AB43*10^-6</f>
        <v>-56.02117731291635</v>
      </c>
      <c r="E43" s="111">
        <f>-(Inputs_SupplyCurve!AC43+Inputs_SupplyCurve!AD43)*10^-6-RefTables!C298</f>
        <v>-34.352839612961247</v>
      </c>
      <c r="F43" s="343">
        <f>Inputs_AnnualElectric!U30*10^-6+UPDATES!T24</f>
        <v>171.18365625714287</v>
      </c>
      <c r="G43" s="346">
        <f t="shared" si="5"/>
        <v>0</v>
      </c>
      <c r="H43" s="279">
        <f t="shared" si="6"/>
        <v>372.24265584582531</v>
      </c>
      <c r="I43" s="77"/>
      <c r="J43" s="10">
        <v>2029</v>
      </c>
      <c r="K43" s="7">
        <f>C43*RefTables!$O153</f>
        <v>15.419922484150035</v>
      </c>
      <c r="L43" s="4">
        <f>D43*RefTables!$O153</f>
        <v>-2.9641192407341301</v>
      </c>
      <c r="M43" s="4">
        <f>E43*RefTables!$O153</f>
        <v>-1.8176325053267821</v>
      </c>
      <c r="N43" s="343">
        <f>Inputs_AnnualElectric!V30*10^-6+UPDATES!P24</f>
        <v>1.6481248739349379</v>
      </c>
      <c r="O43" s="346">
        <f>O22*RefTables!I179/1000</f>
        <v>0</v>
      </c>
      <c r="P43" s="343">
        <f t="shared" si="7"/>
        <v>12.286295612024061</v>
      </c>
      <c r="Q43" s="7" t="s">
        <v>561</v>
      </c>
      <c r="R43" s="359" t="s">
        <v>561</v>
      </c>
    </row>
    <row r="44" spans="2:18" ht="19.5" customHeight="1" thickBot="1" x14ac:dyDescent="0.4">
      <c r="B44" s="11">
        <v>2030</v>
      </c>
      <c r="C44" s="12">
        <f>RefTables!C38/1000+(RefTables!$F$49*RefTables!$F$57/RefTables!E38)*10^-6</f>
        <v>292.86110822508959</v>
      </c>
      <c r="D44" s="112">
        <f>-Inputs_SupplyCurve!AB44*10^-6</f>
        <v>-57.798160255804937</v>
      </c>
      <c r="E44" s="112">
        <f>-(Inputs_SupplyCurve!AC44+Inputs_SupplyCurve!AD44)*10^-6-RefTables!C299</f>
        <v>-35.891281605467064</v>
      </c>
      <c r="F44" s="344">
        <f>Inputs_AnnualElectric!U31*10^-6+UPDATES!T25</f>
        <v>160.10559095238096</v>
      </c>
      <c r="G44" s="347">
        <f t="shared" si="5"/>
        <v>0</v>
      </c>
      <c r="H44" s="280">
        <f t="shared" si="6"/>
        <v>359.27725731619853</v>
      </c>
      <c r="I44" s="77"/>
      <c r="J44" s="11">
        <v>2030</v>
      </c>
      <c r="K44" s="12">
        <f>C44*RefTables!$O154</f>
        <v>15.520942419121136</v>
      </c>
      <c r="L44" s="13">
        <f>D44*RefTables!$O154</f>
        <v>-3.0631650706313573</v>
      </c>
      <c r="M44" s="13">
        <f>E44*RefTables!$O154</f>
        <v>-1.9021525887239392</v>
      </c>
      <c r="N44" s="344">
        <f>Inputs_AnnualElectric!V31*10^-6+UPDATES!P25</f>
        <v>9.9424030206016312E-2</v>
      </c>
      <c r="O44" s="347">
        <f>O23*RefTables!I180/1000</f>
        <v>0</v>
      </c>
      <c r="P44" s="239">
        <f t="shared" si="7"/>
        <v>10.655048789971854</v>
      </c>
      <c r="Q44" s="12">
        <f>RefTables!$G$227</f>
        <v>18.676721162166132</v>
      </c>
      <c r="R44" s="361" t="str">
        <f>IF(P44&lt;=Q44,"Yes","No")</f>
        <v>Yes</v>
      </c>
    </row>
    <row r="45" spans="2:18" ht="18" thickBot="1" x14ac:dyDescent="0.4">
      <c r="C45" s="184"/>
      <c r="D45" s="184"/>
      <c r="E45" s="184"/>
      <c r="F45" s="184"/>
      <c r="H45" s="184"/>
    </row>
    <row r="46" spans="2:18" ht="19.5" customHeight="1" x14ac:dyDescent="0.4">
      <c r="B46" s="444" t="s">
        <v>266</v>
      </c>
      <c r="C46" s="448" t="s">
        <v>438</v>
      </c>
      <c r="D46" s="449"/>
      <c r="E46" s="449"/>
      <c r="F46" s="449"/>
      <c r="G46" s="449"/>
      <c r="H46" s="449"/>
      <c r="I46" s="449"/>
      <c r="J46" s="449"/>
      <c r="K46" s="449"/>
      <c r="L46" s="450"/>
      <c r="M46" s="448" t="s">
        <v>439</v>
      </c>
      <c r="N46" s="449"/>
      <c r="O46" s="449"/>
      <c r="P46" s="450"/>
      <c r="Q46" s="442" t="s">
        <v>426</v>
      </c>
    </row>
    <row r="47" spans="2:18" ht="52.5" thickBot="1" x14ac:dyDescent="0.4">
      <c r="B47" s="445"/>
      <c r="C47" s="151" t="s">
        <v>456</v>
      </c>
      <c r="D47" s="152" t="s">
        <v>425</v>
      </c>
      <c r="E47" s="152" t="s">
        <v>424</v>
      </c>
      <c r="F47" s="152" t="s">
        <v>349</v>
      </c>
      <c r="G47" s="152" t="s">
        <v>329</v>
      </c>
      <c r="H47" s="152" t="s">
        <v>328</v>
      </c>
      <c r="I47" s="152" t="s">
        <v>267</v>
      </c>
      <c r="J47" s="152" t="s">
        <v>107</v>
      </c>
      <c r="K47" s="152" t="s">
        <v>106</v>
      </c>
      <c r="L47" s="152" t="s">
        <v>1</v>
      </c>
      <c r="M47" s="151" t="s">
        <v>20</v>
      </c>
      <c r="N47" s="152" t="s">
        <v>429</v>
      </c>
      <c r="O47" s="152" t="s">
        <v>430</v>
      </c>
      <c r="P47" s="153" t="s">
        <v>1</v>
      </c>
      <c r="Q47" s="443"/>
    </row>
    <row r="48" spans="2:18" x14ac:dyDescent="0.35">
      <c r="B48" s="9">
        <v>2015</v>
      </c>
      <c r="C48" s="286">
        <f>(C29+SUM(D29:E29))*RefTables!$H189</f>
        <v>873.06714969746065</v>
      </c>
      <c r="D48" s="283">
        <f>Inputs_SupplyCurve!M29</f>
        <v>137.59396913152196</v>
      </c>
      <c r="E48" s="283">
        <f>Inputs_SupplyCurve!P29</f>
        <v>506.56634289154363</v>
      </c>
      <c r="F48" s="283">
        <f>Inputs_SupplyCurve!Q29</f>
        <v>97.003539999999987</v>
      </c>
      <c r="G48" s="283">
        <f>SUMIFS(PriceSpikes!$Q$7:$Q$198,PriceSpikes!$B$7:$B$198,B48)</f>
        <v>0</v>
      </c>
      <c r="H48" s="283">
        <f>BalancingMeasures!$M$15*S8*10^-6</f>
        <v>0</v>
      </c>
      <c r="I48" s="283">
        <f>Inputs_AnnualElectric!W16+UPDATES!AB10</f>
        <v>2191.2633909176807</v>
      </c>
      <c r="J48" s="283">
        <f>T8*BalancingMeasures!$I$10*10^-6</f>
        <v>1.008</v>
      </c>
      <c r="K48" s="283">
        <f>U8*BalancingMeasures!$J$9/1000</f>
        <v>10.752000000000001</v>
      </c>
      <c r="L48" s="283">
        <f t="shared" ref="L48:L63" si="8">SUM(C48:K48)</f>
        <v>3817.2543926382064</v>
      </c>
      <c r="M48" s="286">
        <f>Inputs_SupplyCurve!N29</f>
        <v>5.3342447029875145E-2</v>
      </c>
      <c r="N48" s="283">
        <f>Inputs_SupplyCurve!O29+UPDATES!X10</f>
        <v>2.5223941827051544</v>
      </c>
      <c r="O48" s="283"/>
      <c r="P48" s="18">
        <f>SUM(M48:O48)</f>
        <v>2.5757366297350295</v>
      </c>
      <c r="Q48" s="289">
        <f>L48-S1_BaseRefNGNoHydro!L48+P48</f>
        <v>11.873801984875836</v>
      </c>
      <c r="R48" s="83"/>
    </row>
    <row r="49" spans="2:18" x14ac:dyDescent="0.35">
      <c r="B49" s="10">
        <v>2016</v>
      </c>
      <c r="C49" s="287">
        <f>(C30+SUM(D30:E30))*RefTables!$H190</f>
        <v>975.74300385083234</v>
      </c>
      <c r="D49" s="284">
        <f>Inputs_SupplyCurve!M30</f>
        <v>178.98250934786873</v>
      </c>
      <c r="E49" s="284">
        <f>Inputs_SupplyCurve!P30</f>
        <v>579.70239486493267</v>
      </c>
      <c r="F49" s="284">
        <f>Inputs_SupplyCurve!Q30</f>
        <v>0</v>
      </c>
      <c r="G49" s="284">
        <f>SUMIFS(PriceSpikes!$Q$7:$Q$198,PriceSpikes!$B$7:$B$198,B49)</f>
        <v>-4.4596769119039391E-2</v>
      </c>
      <c r="H49" s="284">
        <f>BalancingMeasures!$M$15*S9*10^-6</f>
        <v>0</v>
      </c>
      <c r="I49" s="284">
        <f>Inputs_AnnualElectric!W17+UPDATES!AB11</f>
        <v>2288.4821008331296</v>
      </c>
      <c r="J49" s="284">
        <f>T9*BalancingMeasures!$I$10*10^-6</f>
        <v>0</v>
      </c>
      <c r="K49" s="284">
        <f>U9*BalancingMeasures!$J$9/1000</f>
        <v>0</v>
      </c>
      <c r="L49" s="284">
        <f t="shared" si="8"/>
        <v>4022.865412127644</v>
      </c>
      <c r="M49" s="287">
        <f>Inputs_SupplyCurve!N30</f>
        <v>0</v>
      </c>
      <c r="N49" s="284">
        <f>Inputs_SupplyCurve!O30+UPDATES!X11</f>
        <v>35.310491320559962</v>
      </c>
      <c r="O49" s="284"/>
      <c r="P49" s="19">
        <f t="shared" ref="P49:P63" si="9">SUM(M49:O49)</f>
        <v>35.310491320559962</v>
      </c>
      <c r="Q49" s="290">
        <f>L49-S1_BaseRefNGNoHydro!L49+P49</f>
        <v>51.312458148124463</v>
      </c>
      <c r="R49" s="83"/>
    </row>
    <row r="50" spans="2:18" x14ac:dyDescent="0.35">
      <c r="B50" s="10">
        <v>2017</v>
      </c>
      <c r="C50" s="287">
        <f>(C31+SUM(D31:E31))*RefTables!$H191</f>
        <v>1055.9500674206099</v>
      </c>
      <c r="D50" s="284">
        <f>Inputs_SupplyCurve!M31</f>
        <v>214.12493968163085</v>
      </c>
      <c r="E50" s="284">
        <f>Inputs_SupplyCurve!P31</f>
        <v>650.65893492244231</v>
      </c>
      <c r="F50" s="284">
        <f>Inputs_SupplyCurve!Q31</f>
        <v>0</v>
      </c>
      <c r="G50" s="284">
        <f>SUMIFS(PriceSpikes!$Q$7:$Q$198,PriceSpikes!$B$7:$B$198,B50)</f>
        <v>0</v>
      </c>
      <c r="H50" s="284">
        <f>BalancingMeasures!$M$15*S10*10^-6</f>
        <v>0</v>
      </c>
      <c r="I50" s="284">
        <f>Inputs_AnnualElectric!W18+UPDATES!AB12</f>
        <v>2271.5555804046276</v>
      </c>
      <c r="J50" s="284">
        <f>T10*BalancingMeasures!$I$10*10^-6</f>
        <v>0</v>
      </c>
      <c r="K50" s="284">
        <f>U10*BalancingMeasures!$J$9/1000</f>
        <v>0</v>
      </c>
      <c r="L50" s="284">
        <f t="shared" si="8"/>
        <v>4192.2895224293106</v>
      </c>
      <c r="M50" s="287">
        <f>Inputs_SupplyCurve!N31</f>
        <v>0</v>
      </c>
      <c r="N50" s="284">
        <f>Inputs_SupplyCurve!O31+UPDATES!X12</f>
        <v>61.86459298913023</v>
      </c>
      <c r="O50" s="284"/>
      <c r="P50" s="19">
        <f t="shared" si="9"/>
        <v>61.86459298913023</v>
      </c>
      <c r="Q50" s="290">
        <f>L50-S1_BaseRefNGNoHydro!L50+P50</f>
        <v>168.27903932771989</v>
      </c>
      <c r="R50" s="83"/>
    </row>
    <row r="51" spans="2:18" x14ac:dyDescent="0.35">
      <c r="B51" s="10">
        <v>2018</v>
      </c>
      <c r="C51" s="287">
        <f>(C32+SUM(D32:E32))*RefTables!$H192</f>
        <v>1095.738340370038</v>
      </c>
      <c r="D51" s="284">
        <f>Inputs_SupplyCurve!M32</f>
        <v>245.70120814380834</v>
      </c>
      <c r="E51" s="284">
        <f>Inputs_SupplyCurve!P32</f>
        <v>714.18419669052332</v>
      </c>
      <c r="F51" s="284">
        <f>Inputs_SupplyCurve!Q32</f>
        <v>0</v>
      </c>
      <c r="G51" s="284">
        <f>SUMIFS(PriceSpikes!$Q$7:$Q$198,PriceSpikes!$B$7:$B$198,B51)</f>
        <v>0</v>
      </c>
      <c r="H51" s="284">
        <f>BalancingMeasures!$M$15*S11*10^-6</f>
        <v>0</v>
      </c>
      <c r="I51" s="284">
        <f>Inputs_AnnualElectric!W19+UPDATES!AB13</f>
        <v>2279.4170090978305</v>
      </c>
      <c r="J51" s="284">
        <f>T11*BalancingMeasures!$I$10*10^-6</f>
        <v>0</v>
      </c>
      <c r="K51" s="284">
        <f>U11*BalancingMeasures!$J$9/1000</f>
        <v>0</v>
      </c>
      <c r="L51" s="284">
        <f t="shared" si="8"/>
        <v>4335.0407543022002</v>
      </c>
      <c r="M51" s="287">
        <f>Inputs_SupplyCurve!N32</f>
        <v>0</v>
      </c>
      <c r="N51" s="284">
        <f>Inputs_SupplyCurve!O32+UPDATES!X13</f>
        <v>88.49958728948846</v>
      </c>
      <c r="O51" s="284"/>
      <c r="P51" s="19">
        <f t="shared" si="9"/>
        <v>88.49958728948846</v>
      </c>
      <c r="Q51" s="290">
        <f>L51-S1_BaseRefNGNoHydro!L51+P51</f>
        <v>122.89363142526204</v>
      </c>
      <c r="R51" s="83"/>
    </row>
    <row r="52" spans="2:18" x14ac:dyDescent="0.35">
      <c r="B52" s="10">
        <v>2019</v>
      </c>
      <c r="C52" s="287">
        <f>(C33+SUM(D33:E33))*RefTables!$H193</f>
        <v>1100.5012361326187</v>
      </c>
      <c r="D52" s="284">
        <f>Inputs_SupplyCurve!M33</f>
        <v>276.60939981847474</v>
      </c>
      <c r="E52" s="284">
        <f>Inputs_SupplyCurve!P33</f>
        <v>769.66986592833086</v>
      </c>
      <c r="F52" s="284">
        <f>Inputs_SupplyCurve!Q33</f>
        <v>0</v>
      </c>
      <c r="G52" s="284">
        <f>SUMIFS(PriceSpikes!$Q$7:$Q$198,PriceSpikes!$B$7:$B$198,B52)</f>
        <v>0</v>
      </c>
      <c r="H52" s="284">
        <f>BalancingMeasures!$M$15*S12*10^-6</f>
        <v>0</v>
      </c>
      <c r="I52" s="284">
        <f>Inputs_AnnualElectric!W20+UPDATES!AB14</f>
        <v>2251.1451587995962</v>
      </c>
      <c r="J52" s="284">
        <f>T12*BalancingMeasures!$I$10*10^-6</f>
        <v>0</v>
      </c>
      <c r="K52" s="284">
        <f>U12*BalancingMeasures!$J$9/1000</f>
        <v>0</v>
      </c>
      <c r="L52" s="284">
        <f t="shared" si="8"/>
        <v>4397.9256606790204</v>
      </c>
      <c r="M52" s="287">
        <f>Inputs_SupplyCurve!N33</f>
        <v>0</v>
      </c>
      <c r="N52" s="284">
        <f>Inputs_SupplyCurve!O33+UPDATES!X14</f>
        <v>115.21547422163468</v>
      </c>
      <c r="O52" s="284"/>
      <c r="P52" s="19">
        <f t="shared" si="9"/>
        <v>115.21547422163468</v>
      </c>
      <c r="Q52" s="290">
        <f>L52-S1_BaseRefNGNoHydro!L52+P52</f>
        <v>203.82069426302161</v>
      </c>
      <c r="R52" s="83"/>
    </row>
    <row r="53" spans="2:18" x14ac:dyDescent="0.35">
      <c r="B53" s="10">
        <v>2020</v>
      </c>
      <c r="C53" s="287">
        <f>(C34+SUM(D34:E34))*RefTables!$H194</f>
        <v>1117.020488407911</v>
      </c>
      <c r="D53" s="284">
        <f>Inputs_SupplyCurve!M34</f>
        <v>308.41130228773204</v>
      </c>
      <c r="E53" s="284">
        <f>Inputs_SupplyCurve!P34</f>
        <v>820.86807454247037</v>
      </c>
      <c r="F53" s="284">
        <f>Inputs_SupplyCurve!Q34</f>
        <v>0</v>
      </c>
      <c r="G53" s="284">
        <f>SUMIFS(PriceSpikes!$Q$7:$Q$198,PriceSpikes!$B$7:$B$198,B53)</f>
        <v>-3478.9350037341087</v>
      </c>
      <c r="H53" s="284">
        <f>BalancingMeasures!$M$15*S13*10^-6</f>
        <v>29.814335108544022</v>
      </c>
      <c r="I53" s="284">
        <f>Inputs_AnnualElectric!W21+UPDATES!AB15</f>
        <v>2071.7337222930269</v>
      </c>
      <c r="J53" s="284">
        <f>T13*BalancingMeasures!$I$10*10^-6</f>
        <v>0</v>
      </c>
      <c r="K53" s="284">
        <f>U13*BalancingMeasures!$J$9/1000</f>
        <v>0</v>
      </c>
      <c r="L53" s="284">
        <f t="shared" si="8"/>
        <v>868.91291890557568</v>
      </c>
      <c r="M53" s="287">
        <f>Inputs_SupplyCurve!N34</f>
        <v>0</v>
      </c>
      <c r="N53" s="284">
        <f>Inputs_SupplyCurve!O34+UPDATES!X15</f>
        <v>142.01225378556887</v>
      </c>
      <c r="O53" s="284"/>
      <c r="P53" s="19">
        <f t="shared" si="9"/>
        <v>142.01225378556887</v>
      </c>
      <c r="Q53" s="290">
        <f>L53-S1_BaseRefNGNoHydro!L53+P53</f>
        <v>341.25954565303186</v>
      </c>
      <c r="R53" s="83"/>
    </row>
    <row r="54" spans="2:18" x14ac:dyDescent="0.35">
      <c r="B54" s="10">
        <v>2021</v>
      </c>
      <c r="C54" s="287">
        <f>(C35+SUM(D35:E35))*RefTables!$H195</f>
        <v>1151.8884310317715</v>
      </c>
      <c r="D54" s="284">
        <f>Inputs_SupplyCurve!M35</f>
        <v>334.92457133374</v>
      </c>
      <c r="E54" s="284">
        <f>Inputs_SupplyCurve!P35</f>
        <v>869.07403191821254</v>
      </c>
      <c r="F54" s="284">
        <f>Inputs_SupplyCurve!Q35</f>
        <v>0</v>
      </c>
      <c r="G54" s="284">
        <f>SUMIFS(PriceSpikes!$Q$7:$Q$198,PriceSpikes!$B$7:$B$198,B54)</f>
        <v>-3430.4046115732008</v>
      </c>
      <c r="H54" s="284">
        <f>BalancingMeasures!$M$15*S14*10^-6</f>
        <v>29.814335108544022</v>
      </c>
      <c r="I54" s="284">
        <f>Inputs_AnnualElectric!W22+UPDATES!AB16</f>
        <v>1959.3298020436862</v>
      </c>
      <c r="J54" s="284">
        <f>T14*BalancingMeasures!$I$10*10^-6</f>
        <v>0</v>
      </c>
      <c r="K54" s="284">
        <f>U14*BalancingMeasures!$J$9/1000</f>
        <v>0</v>
      </c>
      <c r="L54" s="284">
        <f t="shared" si="8"/>
        <v>914.62655986275354</v>
      </c>
      <c r="M54" s="287">
        <f>Inputs_SupplyCurve!N35</f>
        <v>2.1573004645279457</v>
      </c>
      <c r="N54" s="284">
        <f>Inputs_SupplyCurve!O35+UPDATES!X16</f>
        <v>463.86447839350171</v>
      </c>
      <c r="O54" s="284"/>
      <c r="P54" s="19">
        <f t="shared" si="9"/>
        <v>466.02177885802968</v>
      </c>
      <c r="Q54" s="290">
        <f>L54-S1_BaseRefNGNoHydro!L54+P54</f>
        <v>521.0918601066096</v>
      </c>
      <c r="R54" s="83"/>
    </row>
    <row r="55" spans="2:18" x14ac:dyDescent="0.35">
      <c r="B55" s="10">
        <v>2022</v>
      </c>
      <c r="C55" s="287">
        <f>(C36+SUM(D36:E36))*RefTables!$H196</f>
        <v>1200.947831519198</v>
      </c>
      <c r="D55" s="284">
        <f>Inputs_SupplyCurve!M36</f>
        <v>358.56506012801765</v>
      </c>
      <c r="E55" s="284">
        <f>Inputs_SupplyCurve!P36</f>
        <v>914.59782634165924</v>
      </c>
      <c r="F55" s="284">
        <f>Inputs_SupplyCurve!Q36</f>
        <v>0</v>
      </c>
      <c r="G55" s="284">
        <f>SUMIFS(PriceSpikes!$Q$7:$Q$198,PriceSpikes!$B$7:$B$198,B55)</f>
        <v>-3320.5341820563822</v>
      </c>
      <c r="H55" s="284">
        <f>BalancingMeasures!$M$15*S15*10^-6</f>
        <v>29.814335108544022</v>
      </c>
      <c r="I55" s="284">
        <f>Inputs_AnnualElectric!W23+UPDATES!AB17</f>
        <v>1937.1308082207174</v>
      </c>
      <c r="J55" s="284">
        <f>T15*BalancingMeasures!$I$10*10^-6</f>
        <v>0</v>
      </c>
      <c r="K55" s="284">
        <f>U15*BalancingMeasures!$J$9/1000</f>
        <v>0</v>
      </c>
      <c r="L55" s="284">
        <f t="shared" si="8"/>
        <v>1120.5216792617543</v>
      </c>
      <c r="M55" s="287">
        <f>Inputs_SupplyCurve!N36</f>
        <v>2.2289209361889943</v>
      </c>
      <c r="N55" s="284">
        <f>Inputs_SupplyCurve!O36+UPDATES!X17</f>
        <v>784.97916956028917</v>
      </c>
      <c r="O55" s="284"/>
      <c r="P55" s="19">
        <f t="shared" si="9"/>
        <v>787.20809049647812</v>
      </c>
      <c r="Q55" s="290">
        <f>L55-S1_BaseRefNGNoHydro!L55+P55</f>
        <v>789.79453212627539</v>
      </c>
      <c r="R55" s="83"/>
    </row>
    <row r="56" spans="2:18" x14ac:dyDescent="0.35">
      <c r="B56" s="10">
        <v>2023</v>
      </c>
      <c r="C56" s="287">
        <f>(C37+SUM(D37:E37))*RefTables!$H197</f>
        <v>1249.3228583015205</v>
      </c>
      <c r="D56" s="284">
        <f>Inputs_SupplyCurve!M37</f>
        <v>376.06410531864424</v>
      </c>
      <c r="E56" s="284">
        <f>Inputs_SupplyCurve!P37</f>
        <v>957.31887247311624</v>
      </c>
      <c r="F56" s="284">
        <f>Inputs_SupplyCurve!Q37</f>
        <v>0</v>
      </c>
      <c r="G56" s="284">
        <f>SUMIFS(PriceSpikes!$Q$7:$Q$198,PriceSpikes!$B$7:$B$198,B56)</f>
        <v>-3326.6961369673631</v>
      </c>
      <c r="H56" s="284">
        <f>BalancingMeasures!$M$15*S16*10^-6</f>
        <v>29.814335108544022</v>
      </c>
      <c r="I56" s="284">
        <f>Inputs_AnnualElectric!W24+UPDATES!AB18</f>
        <v>1916.2451676908352</v>
      </c>
      <c r="J56" s="284">
        <f>T16*BalancingMeasures!$I$10*10^-6</f>
        <v>0</v>
      </c>
      <c r="K56" s="284">
        <f>U16*BalancingMeasures!$J$9/1000</f>
        <v>0</v>
      </c>
      <c r="L56" s="284">
        <f t="shared" si="8"/>
        <v>1202.069201925297</v>
      </c>
      <c r="M56" s="287">
        <f>Inputs_SupplyCurve!N37</f>
        <v>2.3005414078500435</v>
      </c>
      <c r="N56" s="284">
        <f>Inputs_SupplyCurve!O37+UPDATES!X18</f>
        <v>1105.3563272859312</v>
      </c>
      <c r="O56" s="284"/>
      <c r="P56" s="19">
        <f t="shared" si="9"/>
        <v>1107.6568686937812</v>
      </c>
      <c r="Q56" s="290">
        <f>L56-S1_BaseRefNGNoHydro!L56+P56</f>
        <v>1052.8564467179822</v>
      </c>
      <c r="R56" s="83"/>
    </row>
    <row r="57" spans="2:18" x14ac:dyDescent="0.35">
      <c r="B57" s="10">
        <v>2024</v>
      </c>
      <c r="C57" s="287">
        <f>(C38+SUM(D38:E38))*RefTables!$H198</f>
        <v>1300.0321557671184</v>
      </c>
      <c r="D57" s="284">
        <f>Inputs_SupplyCurve!M38</f>
        <v>396.43120882909466</v>
      </c>
      <c r="E57" s="284">
        <f>Inputs_SupplyCurve!P38</f>
        <v>996.46776975883404</v>
      </c>
      <c r="F57" s="284">
        <f>Inputs_SupplyCurve!Q38</f>
        <v>0</v>
      </c>
      <c r="G57" s="284">
        <f>SUMIFS(PriceSpikes!$Q$7:$Q$198,PriceSpikes!$B$7:$B$198,B57)</f>
        <v>-3481.124810558309</v>
      </c>
      <c r="H57" s="284">
        <f>BalancingMeasures!$M$15*S17*10^-6</f>
        <v>29.814335108544022</v>
      </c>
      <c r="I57" s="284">
        <f>Inputs_AnnualElectric!W25+UPDATES!AB19</f>
        <v>1842.6965413147791</v>
      </c>
      <c r="J57" s="284">
        <f>T17*BalancingMeasures!$I$10*10^-6</f>
        <v>0</v>
      </c>
      <c r="K57" s="284">
        <f>U17*BalancingMeasures!$J$9/1000</f>
        <v>0</v>
      </c>
      <c r="L57" s="284">
        <f t="shared" si="8"/>
        <v>1084.3172002200613</v>
      </c>
      <c r="M57" s="287">
        <f>Inputs_SupplyCurve!N38</f>
        <v>2.3721618795110926</v>
      </c>
      <c r="N57" s="284">
        <f>Inputs_SupplyCurve!O38+UPDATES!X19</f>
        <v>1424.9959515704277</v>
      </c>
      <c r="O57" s="284"/>
      <c r="P57" s="19">
        <f t="shared" si="9"/>
        <v>1427.3681134499388</v>
      </c>
      <c r="Q57" s="290">
        <f>L57-S1_BaseRefNGNoHydro!L57+P57</f>
        <v>1292.3434670023325</v>
      </c>
      <c r="R57" s="83"/>
    </row>
    <row r="58" spans="2:18" x14ac:dyDescent="0.35">
      <c r="B58" s="10">
        <v>2025</v>
      </c>
      <c r="C58" s="287">
        <f>(C39+SUM(D39:E39))*RefTables!$H199</f>
        <v>1363.8959531145131</v>
      </c>
      <c r="D58" s="284">
        <f>Inputs_SupplyCurve!M39</f>
        <v>416.29833553275068</v>
      </c>
      <c r="E58" s="284">
        <f>Inputs_SupplyCurve!P39</f>
        <v>1031.4920261822479</v>
      </c>
      <c r="F58" s="284">
        <f>Inputs_SupplyCurve!Q39</f>
        <v>97.003539999999987</v>
      </c>
      <c r="G58" s="284">
        <f>SUMIFS(PriceSpikes!$Q$7:$Q$198,PriceSpikes!$B$7:$B$198,B58)</f>
        <v>-3440.0273792678954</v>
      </c>
      <c r="H58" s="284">
        <f>BalancingMeasures!$M$15*S18*10^-6</f>
        <v>29.814335108544022</v>
      </c>
      <c r="I58" s="284">
        <f>Inputs_AnnualElectric!W26+UPDATES!AB20</f>
        <v>1817.6800303762657</v>
      </c>
      <c r="J58" s="284">
        <f>T18*BalancingMeasures!$I$10*10^-6</f>
        <v>0</v>
      </c>
      <c r="K58" s="284">
        <f>U18*BalancingMeasures!$J$9/1000</f>
        <v>0</v>
      </c>
      <c r="L58" s="284">
        <f t="shared" si="8"/>
        <v>1316.1568410464261</v>
      </c>
      <c r="M58" s="287">
        <f>Inputs_SupplyCurve!N39</f>
        <v>2.4437823511721413</v>
      </c>
      <c r="N58" s="284">
        <f>Inputs_SupplyCurve!O39+UPDATES!X20</f>
        <v>1743.8980424137787</v>
      </c>
      <c r="O58" s="284"/>
      <c r="P58" s="19">
        <f t="shared" si="9"/>
        <v>1746.3418247649508</v>
      </c>
      <c r="Q58" s="290">
        <f>L58-S1_BaseRefNGNoHydro!L58+P58</f>
        <v>1591.2225108979108</v>
      </c>
      <c r="R58" s="83"/>
    </row>
    <row r="59" spans="2:18" x14ac:dyDescent="0.35">
      <c r="B59" s="10">
        <v>2026</v>
      </c>
      <c r="C59" s="287">
        <f>(C40+SUM(D40:E40))*RefTables!$H200</f>
        <v>1413.3464548159561</v>
      </c>
      <c r="D59" s="284">
        <f>Inputs_SupplyCurve!M40</f>
        <v>435.39608562997785</v>
      </c>
      <c r="E59" s="284">
        <f>Inputs_SupplyCurve!P40</f>
        <v>1063.9776628284449</v>
      </c>
      <c r="F59" s="284">
        <f>Inputs_SupplyCurve!Q40</f>
        <v>0</v>
      </c>
      <c r="G59" s="284">
        <f>SUMIFS(PriceSpikes!$Q$7:$Q$198,PriceSpikes!$B$7:$B$198,B59)</f>
        <v>-3459.7462355513067</v>
      </c>
      <c r="H59" s="284">
        <f>BalancingMeasures!$M$15*S19*10^-6</f>
        <v>29.814335108544022</v>
      </c>
      <c r="I59" s="284">
        <f>Inputs_AnnualElectric!W27+UPDATES!AB21</f>
        <v>1787.5471641145302</v>
      </c>
      <c r="J59" s="284">
        <f>T19*BalancingMeasures!$I$10*10^-6</f>
        <v>0</v>
      </c>
      <c r="K59" s="284">
        <f>U19*BalancingMeasures!$J$9/1000</f>
        <v>0</v>
      </c>
      <c r="L59" s="284">
        <f t="shared" si="8"/>
        <v>1270.3354669461464</v>
      </c>
      <c r="M59" s="287">
        <f>Inputs_SupplyCurve!N40</f>
        <v>2.5154028228331904</v>
      </c>
      <c r="N59" s="284">
        <f>Inputs_SupplyCurve!O40+UPDATES!X21</f>
        <v>2062.0625998159844</v>
      </c>
      <c r="O59" s="284"/>
      <c r="P59" s="19">
        <f t="shared" si="9"/>
        <v>2064.5780026388175</v>
      </c>
      <c r="Q59" s="290">
        <f>L59-S1_BaseRefNGNoHydro!L59+P59</f>
        <v>1850.1753613998067</v>
      </c>
      <c r="R59" s="83"/>
    </row>
    <row r="60" spans="2:18" x14ac:dyDescent="0.35">
      <c r="B60" s="10">
        <v>2027</v>
      </c>
      <c r="C60" s="287">
        <f>(C41+SUM(D41:E41))*RefTables!$H201</f>
        <v>1454.4365386325103</v>
      </c>
      <c r="D60" s="284">
        <f>Inputs_SupplyCurve!M41</f>
        <v>453.92400148253785</v>
      </c>
      <c r="E60" s="284">
        <f>Inputs_SupplyCurve!P41</f>
        <v>1095.6589563061075</v>
      </c>
      <c r="F60" s="284">
        <f>Inputs_SupplyCurve!Q41</f>
        <v>0</v>
      </c>
      <c r="G60" s="284">
        <f>SUMIFS(PriceSpikes!$Q$7:$Q$198,PriceSpikes!$B$7:$B$198,B60)</f>
        <v>-3477.4368437049698</v>
      </c>
      <c r="H60" s="284">
        <f>BalancingMeasures!$M$15*S20*10^-6</f>
        <v>29.814335108544022</v>
      </c>
      <c r="I60" s="284">
        <f>Inputs_AnnualElectric!W28+UPDATES!AB22</f>
        <v>1723.9675723845385</v>
      </c>
      <c r="J60" s="284">
        <f>T20*BalancingMeasures!$I$10*10^-6</f>
        <v>0</v>
      </c>
      <c r="K60" s="284">
        <f>U20*BalancingMeasures!$J$9/1000</f>
        <v>0</v>
      </c>
      <c r="L60" s="284">
        <f t="shared" si="8"/>
        <v>1280.3645602092683</v>
      </c>
      <c r="M60" s="287">
        <f>Inputs_SupplyCurve!N41</f>
        <v>2.5870232944942386</v>
      </c>
      <c r="N60" s="284">
        <f>Inputs_SupplyCurve!O41+UPDATES!X22</f>
        <v>2379.4896237770445</v>
      </c>
      <c r="O60" s="284"/>
      <c r="P60" s="19">
        <f t="shared" si="9"/>
        <v>2382.0766470715389</v>
      </c>
      <c r="Q60" s="290">
        <f>L60-S1_BaseRefNGNoHydro!L60+P60</f>
        <v>2084.2918385665625</v>
      </c>
      <c r="R60" s="83"/>
    </row>
    <row r="61" spans="2:18" x14ac:dyDescent="0.35">
      <c r="B61" s="10">
        <v>2028</v>
      </c>
      <c r="C61" s="287">
        <f>(C42+SUM(D42:E42))*RefTables!$H202</f>
        <v>1495.1260918866985</v>
      </c>
      <c r="D61" s="284">
        <f>Inputs_SupplyCurve!M42</f>
        <v>471.72277130741145</v>
      </c>
      <c r="E61" s="284">
        <f>Inputs_SupplyCurve!P42</f>
        <v>1120.7748389329322</v>
      </c>
      <c r="F61" s="284">
        <f>Inputs_SupplyCurve!Q42</f>
        <v>0</v>
      </c>
      <c r="G61" s="284">
        <f>SUMIFS(PriceSpikes!$Q$7:$Q$198,PriceSpikes!$B$7:$B$198,B61)</f>
        <v>-3578.5774524857034</v>
      </c>
      <c r="H61" s="284">
        <f>BalancingMeasures!$M$15*S21*10^-6</f>
        <v>29.814335108544022</v>
      </c>
      <c r="I61" s="284">
        <f>Inputs_AnnualElectric!W29+UPDATES!AB23</f>
        <v>1716.8136249063939</v>
      </c>
      <c r="J61" s="284">
        <f>T21*BalancingMeasures!$I$10*10^-6</f>
        <v>0</v>
      </c>
      <c r="K61" s="284">
        <f>U21*BalancingMeasures!$J$9/1000</f>
        <v>0</v>
      </c>
      <c r="L61" s="284">
        <f t="shared" si="8"/>
        <v>1255.6742096562766</v>
      </c>
      <c r="M61" s="287">
        <f>Inputs_SupplyCurve!N42</f>
        <v>2.6586437661552877</v>
      </c>
      <c r="N61" s="284">
        <f>Inputs_SupplyCurve!O42+UPDATES!X23</f>
        <v>2696.1791142969596</v>
      </c>
      <c r="O61" s="284"/>
      <c r="P61" s="19">
        <f t="shared" si="9"/>
        <v>2698.837758063115</v>
      </c>
      <c r="Q61" s="290">
        <f>L61-S1_BaseRefNGNoHydro!L61+P61</f>
        <v>2324.1004704175011</v>
      </c>
      <c r="R61" s="83"/>
    </row>
    <row r="62" spans="2:18" x14ac:dyDescent="0.35">
      <c r="B62" s="10">
        <v>2029</v>
      </c>
      <c r="C62" s="287">
        <f>(C43+SUM(D43:E43))*RefTables!$H203</f>
        <v>1510.0014899066869</v>
      </c>
      <c r="D62" s="284">
        <f>Inputs_SupplyCurve!M43</f>
        <v>488.97832583960559</v>
      </c>
      <c r="E62" s="284">
        <f>Inputs_SupplyCurve!P43</f>
        <v>1145.8391388744885</v>
      </c>
      <c r="F62" s="284">
        <f>Inputs_SupplyCurve!Q43</f>
        <v>0</v>
      </c>
      <c r="G62" s="284">
        <f>SUMIFS(PriceSpikes!$Q$7:$Q$198,PriceSpikes!$B$7:$B$198,B62)</f>
        <v>-3597.4172412566404</v>
      </c>
      <c r="H62" s="284">
        <f>BalancingMeasures!$M$15*S22*10^-6</f>
        <v>29.814335108544022</v>
      </c>
      <c r="I62" s="284">
        <f>Inputs_AnnualElectric!W30+UPDATES!AB24</f>
        <v>1702.0415148291809</v>
      </c>
      <c r="J62" s="284">
        <f>T22*BalancingMeasures!$I$10*10^-6</f>
        <v>0</v>
      </c>
      <c r="K62" s="284">
        <f>U22*BalancingMeasures!$J$9/1000</f>
        <v>0</v>
      </c>
      <c r="L62" s="284">
        <f t="shared" si="8"/>
        <v>1279.2575633018655</v>
      </c>
      <c r="M62" s="287">
        <f>Inputs_SupplyCurve!N43</f>
        <v>2.7302642378163364</v>
      </c>
      <c r="N62" s="284">
        <f>Inputs_SupplyCurve!O43+UPDATES!X24</f>
        <v>3012.1310713757289</v>
      </c>
      <c r="O62" s="284"/>
      <c r="P62" s="19">
        <f t="shared" si="9"/>
        <v>3014.8613356135452</v>
      </c>
      <c r="Q62" s="290">
        <f>L62-S1_BaseRefNGNoHydro!L62+P62</f>
        <v>2514.2473202404681</v>
      </c>
      <c r="R62" s="83"/>
    </row>
    <row r="63" spans="2:18" ht="18" thickBot="1" x14ac:dyDescent="0.4">
      <c r="B63" s="11">
        <v>2030</v>
      </c>
      <c r="C63" s="288">
        <f>(C44+SUM(D44:E44))*RefTables!$H204</f>
        <v>1542.774072245938</v>
      </c>
      <c r="D63" s="285">
        <f>Inputs_SupplyCurve!M44</f>
        <v>505.70253232383402</v>
      </c>
      <c r="E63" s="285">
        <f>Inputs_SupplyCurve!P44</f>
        <v>1171.828130607023</v>
      </c>
      <c r="F63" s="285">
        <f>Inputs_SupplyCurve!Q44</f>
        <v>0</v>
      </c>
      <c r="G63" s="285">
        <f>SUMIFS(PriceSpikes!$Q$7:$Q$198,PriceSpikes!$B$7:$B$198,B63)</f>
        <v>-3574.7088289578865</v>
      </c>
      <c r="H63" s="285">
        <f>BalancingMeasures!$M$15*S23*10^-6</f>
        <v>29.814335108544022</v>
      </c>
      <c r="I63" s="285">
        <f>Inputs_AnnualElectric!W31+UPDATES!AB25</f>
        <v>1618.700952522448</v>
      </c>
      <c r="J63" s="285">
        <f>T23*BalancingMeasures!$I$10*10^-6</f>
        <v>0</v>
      </c>
      <c r="K63" s="285">
        <f>U23*BalancingMeasures!$J$9/1000</f>
        <v>0</v>
      </c>
      <c r="L63" s="285">
        <f t="shared" si="8"/>
        <v>1294.1111938499007</v>
      </c>
      <c r="M63" s="288">
        <f>Inputs_SupplyCurve!N44</f>
        <v>2.8018847094773873</v>
      </c>
      <c r="N63" s="285">
        <f>Inputs_SupplyCurve!O44+UPDATES!X25</f>
        <v>3327.3454950133528</v>
      </c>
      <c r="O63" s="285"/>
      <c r="P63" s="20">
        <f t="shared" si="9"/>
        <v>3330.14737972283</v>
      </c>
      <c r="Q63" s="291">
        <f>L63-S1_BaseRefNGNoHydro!L63+P63</f>
        <v>2668.2931068534053</v>
      </c>
      <c r="R63" s="83"/>
    </row>
    <row r="64" spans="2:18" x14ac:dyDescent="0.35">
      <c r="B64" s="76"/>
      <c r="D64" s="184"/>
    </row>
  </sheetData>
  <mergeCells count="22">
    <mergeCell ref="B46:B47"/>
    <mergeCell ref="C46:L46"/>
    <mergeCell ref="M46:P46"/>
    <mergeCell ref="Q46:Q47"/>
    <mergeCell ref="B27:B28"/>
    <mergeCell ref="C27:E27"/>
    <mergeCell ref="J27:J28"/>
    <mergeCell ref="K27:M27"/>
    <mergeCell ref="Q27:R27"/>
    <mergeCell ref="B4:R4"/>
    <mergeCell ref="H27:H28"/>
    <mergeCell ref="P27:P28"/>
    <mergeCell ref="F27:G27"/>
    <mergeCell ref="N27:O27"/>
    <mergeCell ref="B25:R25"/>
    <mergeCell ref="C6:E6"/>
    <mergeCell ref="F6:G6"/>
    <mergeCell ref="Q6:R6"/>
    <mergeCell ref="H6:I6"/>
    <mergeCell ref="J6:K6"/>
    <mergeCell ref="L6:P6"/>
    <mergeCell ref="B6:B7"/>
  </mergeCells>
  <conditionalFormatting sqref="Q8:Q23">
    <cfRule type="expression" dxfId="8" priority="2">
      <formula>R8&lt;=95%</formula>
    </cfRule>
  </conditionalFormatting>
  <conditionalFormatting sqref="H8:H23">
    <cfRule type="expression" dxfId="7" priority="4">
      <formula>I8&lt;=95%</formula>
    </cfRule>
  </conditionalFormatting>
  <conditionalFormatting sqref="R34 R44">
    <cfRule type="expression" dxfId="6" priority="1">
      <formula>R44&lt;=S44</formula>
    </cfRule>
  </conditionalFormatting>
  <conditionalFormatting sqref="P44">
    <cfRule type="expression" dxfId="5" priority="78">
      <formula>$P$44&lt;=$Q$44</formula>
    </cfRule>
  </conditionalFormatting>
  <pageMargins left="0.7" right="0.7" top="0.75" bottom="0.75" header="0.3" footer="0.3"/>
  <pageSetup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B2:Z66"/>
  <sheetViews>
    <sheetView showGridLines="0" view="pageBreakPreview" zoomScale="85" zoomScaleNormal="70" zoomScaleSheetLayoutView="85" workbookViewId="0">
      <pane ySplit="4" topLeftCell="A5" activePane="bottomLeft" state="frozen"/>
      <selection activeCell="X23" sqref="X23"/>
      <selection pane="bottomLeft" activeCell="X23" sqref="X23"/>
    </sheetView>
  </sheetViews>
  <sheetFormatPr defaultRowHeight="17.25" x14ac:dyDescent="0.35"/>
  <cols>
    <col min="1" max="1" width="2.375" customWidth="1"/>
    <col min="2" max="18" width="13.375" customWidth="1"/>
    <col min="19" max="19" width="11.25" customWidth="1"/>
    <col min="20" max="23" width="10.125" customWidth="1"/>
    <col min="26" max="26" width="10.625" bestFit="1" customWidth="1"/>
    <col min="27" max="27" width="10.25" customWidth="1"/>
    <col min="28" max="28" width="10.625" customWidth="1"/>
  </cols>
  <sheetData>
    <row r="2" spans="2:26" ht="30.75" x14ac:dyDescent="0.6">
      <c r="B2" s="1" t="s">
        <v>433</v>
      </c>
      <c r="R2" s="362" t="str">
        <f>IF(SUM($P$8:$P$23)&lt;&gt;0,"This scenario requires a pipeline.","This scenario does not require a pipeline.")</f>
        <v>This scenario requires a pipeline.</v>
      </c>
      <c r="X2" s="195"/>
      <c r="Y2" s="193">
        <v>5.6000000000000001E-2</v>
      </c>
      <c r="Z2" s="194" t="e">
        <f>Y2/X2</f>
        <v>#DIV/0!</v>
      </c>
    </row>
    <row r="4" spans="2:26" ht="21.75" x14ac:dyDescent="0.45">
      <c r="B4" s="432" t="s">
        <v>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</row>
    <row r="5" spans="2:26" ht="18" thickBot="1" x14ac:dyDescent="0.4">
      <c r="B5" s="2"/>
      <c r="C5" s="75"/>
      <c r="D5" s="184"/>
      <c r="E5" s="184"/>
      <c r="F5" s="184"/>
      <c r="G5" s="184"/>
      <c r="H5" s="184"/>
      <c r="I5" s="184"/>
      <c r="J5" s="184"/>
      <c r="K5" s="184"/>
      <c r="L5" s="184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6" ht="19.5" customHeight="1" x14ac:dyDescent="0.4">
      <c r="B6" s="458" t="s">
        <v>548</v>
      </c>
      <c r="C6" s="446" t="s">
        <v>435</v>
      </c>
      <c r="D6" s="447"/>
      <c r="E6" s="447"/>
      <c r="F6" s="446" t="s">
        <v>550</v>
      </c>
      <c r="G6" s="451"/>
      <c r="H6" s="446" t="s">
        <v>436</v>
      </c>
      <c r="I6" s="447"/>
      <c r="J6" s="446" t="s">
        <v>551</v>
      </c>
      <c r="K6" s="451"/>
      <c r="L6" s="446" t="s">
        <v>557</v>
      </c>
      <c r="M6" s="447"/>
      <c r="N6" s="447"/>
      <c r="O6" s="447"/>
      <c r="P6" s="451"/>
      <c r="Q6" s="462" t="s">
        <v>553</v>
      </c>
      <c r="R6" s="463"/>
    </row>
    <row r="7" spans="2:26" ht="52.5" thickBot="1" x14ac:dyDescent="0.4">
      <c r="B7" s="459"/>
      <c r="C7" s="15" t="s">
        <v>456</v>
      </c>
      <c r="D7" s="16" t="s">
        <v>425</v>
      </c>
      <c r="E7" s="16" t="s">
        <v>20</v>
      </c>
      <c r="F7" s="15" t="s">
        <v>2</v>
      </c>
      <c r="G7" s="16" t="s">
        <v>538</v>
      </c>
      <c r="H7" s="15" t="s">
        <v>457</v>
      </c>
      <c r="I7" s="16" t="s">
        <v>409</v>
      </c>
      <c r="J7" s="15" t="s">
        <v>552</v>
      </c>
      <c r="K7" s="16" t="s">
        <v>267</v>
      </c>
      <c r="L7" s="15" t="s">
        <v>539</v>
      </c>
      <c r="M7" s="16" t="s">
        <v>453</v>
      </c>
      <c r="N7" s="16" t="s">
        <v>107</v>
      </c>
      <c r="O7" s="16" t="s">
        <v>106</v>
      </c>
      <c r="P7" s="17" t="s">
        <v>328</v>
      </c>
      <c r="Q7" s="15" t="s">
        <v>457</v>
      </c>
      <c r="R7" s="240" t="s">
        <v>409</v>
      </c>
      <c r="S7" s="275" t="s">
        <v>465</v>
      </c>
      <c r="T7" s="275" t="s">
        <v>455</v>
      </c>
      <c r="U7" s="275" t="s">
        <v>437</v>
      </c>
      <c r="V7" s="275"/>
      <c r="W7" s="161"/>
      <c r="X7" s="162"/>
      <c r="Z7" s="196"/>
    </row>
    <row r="8" spans="2:26" x14ac:dyDescent="0.35">
      <c r="B8" s="9">
        <v>2015</v>
      </c>
      <c r="C8" s="5">
        <f>RefTables!D23+RefTables!$F$49*RefTables!$F$57/1000</f>
        <v>157.12752906068812</v>
      </c>
      <c r="D8" s="110">
        <f>-Inputs_SupplyCurve!AL29/1000</f>
        <v>-8.0169925080334483</v>
      </c>
      <c r="E8" s="110">
        <f>-(Inputs_SupplyCurve!AM29+Inputs_SupplyCurve!AN29)/1000-RefTables!D284</f>
        <v>-7.1691640119538391</v>
      </c>
      <c r="F8" s="5">
        <f>RefTables!F79/1000</f>
        <v>85.720249999999993</v>
      </c>
      <c r="G8" s="3">
        <f>RefTables!$F$127/1000</f>
        <v>36.795041666666663</v>
      </c>
      <c r="H8" s="237">
        <f t="shared" ref="H8:H23" si="0">SUM(F8:G8)-SUM(C8:E8)</f>
        <v>-19.426080874034199</v>
      </c>
      <c r="I8" s="262">
        <f t="shared" ref="I8:I23" si="1">SUM(C8:E8)/SUM(F8:G8)</f>
        <v>1.158560458941629</v>
      </c>
      <c r="J8" s="342">
        <f>MAX(-H8,0)</f>
        <v>19.426080874034199</v>
      </c>
      <c r="K8" s="345">
        <f>Inputs_JanElectric!J16+UPDATES!M10</f>
        <v>14.10284</v>
      </c>
      <c r="L8" s="5">
        <f>RefTables!$F$126/1000</f>
        <v>18.940624999999997</v>
      </c>
      <c r="M8" s="3">
        <f>RefTables!$F$125/1000</f>
        <v>12.191666666666666</v>
      </c>
      <c r="N8" s="325">
        <f>BalancingMeasures!$N$10*T8</f>
        <v>0.5776</v>
      </c>
      <c r="O8" s="4">
        <f>BalancingMeasures!$N$9*U8</f>
        <v>3.5840000000000001</v>
      </c>
      <c r="P8" s="6"/>
      <c r="Q8" s="241">
        <f t="shared" ref="Q8:Q23" si="2">SUM(L8:P8)-SUM(J8:K8)</f>
        <v>1.764970792632468</v>
      </c>
      <c r="R8" s="242">
        <f t="shared" ref="R8:R23" si="3">SUM(J8:K8)/SUM(L8:P8)</f>
        <v>0.94999217401974989</v>
      </c>
      <c r="S8" s="107"/>
      <c r="T8" s="107">
        <v>760</v>
      </c>
      <c r="U8" s="107">
        <v>3584</v>
      </c>
      <c r="V8" s="107"/>
      <c r="W8" s="158"/>
      <c r="X8" s="159"/>
      <c r="Y8" s="158"/>
      <c r="Z8" s="197"/>
    </row>
    <row r="9" spans="2:26" x14ac:dyDescent="0.35">
      <c r="B9" s="10">
        <v>2016</v>
      </c>
      <c r="C9" s="7">
        <f>RefTables!D24+RefTables!$F$49*RefTables!$F$57/1000</f>
        <v>159.85216975606758</v>
      </c>
      <c r="D9" s="111">
        <f>-Inputs_SupplyCurve!AL30/1000</f>
        <v>-10.495713831921673</v>
      </c>
      <c r="E9" s="111">
        <f>-(Inputs_SupplyCurve!AM30+Inputs_SupplyCurve!AN30)/1000-RefTables!D285</f>
        <v>-8.1933302993758161</v>
      </c>
      <c r="F9" s="7">
        <f>RefTables!$F$80/1000</f>
        <v>99.970249999999993</v>
      </c>
      <c r="G9" s="4">
        <f>RefTables!$F$127/1000</f>
        <v>36.795041666666663</v>
      </c>
      <c r="H9" s="238">
        <f t="shared" si="0"/>
        <v>-4.3978339581034334</v>
      </c>
      <c r="I9" s="263">
        <f t="shared" si="1"/>
        <v>1.032156067555664</v>
      </c>
      <c r="J9" s="343">
        <f t="shared" ref="J9:J23" si="4">MAX(-H9,0)</f>
        <v>4.3978339581034334</v>
      </c>
      <c r="K9" s="346">
        <f>Inputs_JanElectric!J17+UPDATES!M11</f>
        <v>14.079893</v>
      </c>
      <c r="L9" s="7">
        <f>RefTables!$F$126/1000</f>
        <v>18.940624999999997</v>
      </c>
      <c r="M9" s="4">
        <f>RefTables!$F$125/1000</f>
        <v>12.191666666666666</v>
      </c>
      <c r="N9" s="325"/>
      <c r="O9" s="4"/>
      <c r="P9" s="8"/>
      <c r="Q9" s="238">
        <f t="shared" si="2"/>
        <v>12.654564708563232</v>
      </c>
      <c r="R9" s="243">
        <f t="shared" si="3"/>
        <v>0.59352286545251431</v>
      </c>
      <c r="S9" s="107"/>
      <c r="T9" s="107"/>
      <c r="U9" s="107"/>
      <c r="V9" s="107"/>
      <c r="W9" s="158"/>
      <c r="X9" s="159"/>
      <c r="Y9" s="158"/>
      <c r="Z9" s="197"/>
    </row>
    <row r="10" spans="2:26" x14ac:dyDescent="0.35">
      <c r="B10" s="10">
        <v>2017</v>
      </c>
      <c r="C10" s="7">
        <f>RefTables!D25+RefTables!$F$49*RefTables!$F$57/1000</f>
        <v>162.43792427380353</v>
      </c>
      <c r="D10" s="111">
        <f>-Inputs_SupplyCurve!AL31/1000</f>
        <v>-12.588996988686558</v>
      </c>
      <c r="E10" s="111">
        <f>-(Inputs_SupplyCurve!AM31+Inputs_SupplyCurve!AN31)/1000-RefTables!D286</f>
        <v>-9.2174965867977932</v>
      </c>
      <c r="F10" s="7">
        <f>RefTables!$F$80/1000</f>
        <v>99.970249999999993</v>
      </c>
      <c r="G10" s="4">
        <f>RefTables!$F$127/1000</f>
        <v>36.795041666666663</v>
      </c>
      <c r="H10" s="238">
        <f t="shared" si="0"/>
        <v>-3.8661390316525512</v>
      </c>
      <c r="I10" s="263">
        <f t="shared" si="1"/>
        <v>1.0282684223792347</v>
      </c>
      <c r="J10" s="343">
        <f t="shared" si="4"/>
        <v>3.8661390316525512</v>
      </c>
      <c r="K10" s="346">
        <f>Inputs_JanElectric!J18+UPDATES!M12</f>
        <v>12.413176</v>
      </c>
      <c r="L10" s="7">
        <f>RefTables!$F$126/1000</f>
        <v>18.940624999999997</v>
      </c>
      <c r="M10" s="4">
        <f>RefTables!$F$125/1000</f>
        <v>12.191666666666666</v>
      </c>
      <c r="N10" s="325"/>
      <c r="O10" s="4"/>
      <c r="P10" s="8"/>
      <c r="Q10" s="238">
        <f t="shared" si="2"/>
        <v>14.852976635014112</v>
      </c>
      <c r="R10" s="277">
        <f t="shared" si="3"/>
        <v>0.52290770001627629</v>
      </c>
      <c r="S10" s="107"/>
      <c r="T10" s="107"/>
      <c r="U10" s="107"/>
      <c r="V10" s="107"/>
      <c r="W10" s="158"/>
      <c r="X10" s="159"/>
      <c r="Y10" s="158"/>
      <c r="Z10" s="197"/>
    </row>
    <row r="11" spans="2:26" x14ac:dyDescent="0.35">
      <c r="B11" s="10">
        <v>2018</v>
      </c>
      <c r="C11" s="7">
        <f>RefTables!D26+RefTables!$F$49*RefTables!$F$57/1000</f>
        <v>165.218866784326</v>
      </c>
      <c r="D11" s="111">
        <f>-Inputs_SupplyCurve!AL32/1000</f>
        <v>-14.554759197462396</v>
      </c>
      <c r="E11" s="111">
        <f>-(Inputs_SupplyCurve!AM32+Inputs_SupplyCurve!AN32)/1000-RefTables!D287</f>
        <v>-10.24166287421977</v>
      </c>
      <c r="F11" s="7">
        <f>RefTables!$F$80/1000</f>
        <v>99.970249999999993</v>
      </c>
      <c r="G11" s="4">
        <f>RefTables!$F$127/1000</f>
        <v>36.795041666666663</v>
      </c>
      <c r="H11" s="238">
        <f t="shared" si="0"/>
        <v>-3.6571530459771679</v>
      </c>
      <c r="I11" s="263">
        <f t="shared" si="1"/>
        <v>1.0267403593514839</v>
      </c>
      <c r="J11" s="343">
        <f t="shared" si="4"/>
        <v>3.6571530459771679</v>
      </c>
      <c r="K11" s="346">
        <f>Inputs_JanElectric!J19+UPDATES!M13</f>
        <v>19.111969000000002</v>
      </c>
      <c r="L11" s="7">
        <f>RefTables!$F$126/1000</f>
        <v>18.940624999999997</v>
      </c>
      <c r="M11" s="4">
        <f>RefTables!$F$125/1000</f>
        <v>12.191666666666666</v>
      </c>
      <c r="N11" s="325"/>
      <c r="O11" s="4"/>
      <c r="P11" s="8"/>
      <c r="Q11" s="238">
        <f t="shared" si="2"/>
        <v>8.3631696206894937</v>
      </c>
      <c r="R11" s="277">
        <f t="shared" si="3"/>
        <v>0.73136672011704373</v>
      </c>
      <c r="S11" s="107"/>
      <c r="T11" s="107"/>
      <c r="U11" s="107"/>
      <c r="V11" s="107"/>
      <c r="W11" s="158"/>
      <c r="X11" s="159"/>
      <c r="Y11" s="158"/>
      <c r="Z11" s="197"/>
    </row>
    <row r="12" spans="2:26" x14ac:dyDescent="0.35">
      <c r="B12" s="10">
        <v>2019</v>
      </c>
      <c r="C12" s="7">
        <f>RefTables!D27+RefTables!$F$49*RefTables!$F$57/1000</f>
        <v>167.74355386487682</v>
      </c>
      <c r="D12" s="111">
        <f>-Inputs_SupplyCurve!AL33/1000</f>
        <v>-16.523571745239565</v>
      </c>
      <c r="E12" s="111">
        <f>-(Inputs_SupplyCurve!AM33+Inputs_SupplyCurve!AN33)/1000-RefTables!D288</f>
        <v>-11.265829161641747</v>
      </c>
      <c r="F12" s="7">
        <f>RefTables!$F$80/1000</f>
        <v>99.970249999999993</v>
      </c>
      <c r="G12" s="4">
        <f>RefTables!$F$127/1000</f>
        <v>36.795041666666663</v>
      </c>
      <c r="H12" s="238">
        <f t="shared" si="0"/>
        <v>-3.1888612913288625</v>
      </c>
      <c r="I12" s="263">
        <f t="shared" si="1"/>
        <v>1.0233163052735701</v>
      </c>
      <c r="J12" s="343">
        <f t="shared" si="4"/>
        <v>3.1888612913288625</v>
      </c>
      <c r="K12" s="346">
        <f>Inputs_JanElectric!J20+UPDATES!M14</f>
        <v>16.110251999999999</v>
      </c>
      <c r="L12" s="7">
        <f>RefTables!$F$126/1000</f>
        <v>18.940624999999997</v>
      </c>
      <c r="M12" s="4">
        <f>RefTables!$F$125/1000</f>
        <v>12.191666666666666</v>
      </c>
      <c r="N12" s="325"/>
      <c r="O12" s="4"/>
      <c r="P12" s="8"/>
      <c r="Q12" s="238">
        <f t="shared" si="2"/>
        <v>11.833178375337802</v>
      </c>
      <c r="R12" s="243">
        <f t="shared" si="3"/>
        <v>0.61990660687508647</v>
      </c>
      <c r="S12" s="107"/>
      <c r="T12" s="107"/>
      <c r="U12" s="107"/>
      <c r="V12" s="107"/>
      <c r="W12" s="158"/>
      <c r="X12" s="159"/>
      <c r="Y12" s="160"/>
      <c r="Z12" s="158"/>
    </row>
    <row r="13" spans="2:26" x14ac:dyDescent="0.35">
      <c r="B13" s="10">
        <v>2020</v>
      </c>
      <c r="C13" s="7">
        <f>RefTables!D28+RefTables!$F$49*RefTables!$F$57/1000</f>
        <v>168.56469967420119</v>
      </c>
      <c r="D13" s="111">
        <f>-Inputs_SupplyCurve!AL34/1000</f>
        <v>-18.536560434815215</v>
      </c>
      <c r="E13" s="111">
        <f>-(Inputs_SupplyCurve!AM34+Inputs_SupplyCurve!AN34)/1000-RefTables!D289</f>
        <v>-12.289995449063724</v>
      </c>
      <c r="F13" s="7">
        <f>RefTables!$F$80/1000</f>
        <v>99.970249999999993</v>
      </c>
      <c r="G13" s="4">
        <f>RefTables!$F$127/1000</f>
        <v>36.795041666666663</v>
      </c>
      <c r="H13" s="238">
        <f t="shared" si="0"/>
        <v>-0.97285212365559914</v>
      </c>
      <c r="I13" s="263">
        <f t="shared" si="1"/>
        <v>1.0071132968884144</v>
      </c>
      <c r="J13" s="343">
        <f t="shared" si="4"/>
        <v>0.97285212365559914</v>
      </c>
      <c r="K13" s="346">
        <f>Inputs_JanElectric!J21+UPDATES!M15</f>
        <v>49.82453499999999</v>
      </c>
      <c r="L13" s="7">
        <f>RefTables!$F$126/1000</f>
        <v>18.940624999999997</v>
      </c>
      <c r="M13" s="4">
        <f>RefTables!$F$125/1000</f>
        <v>12.191666666666666</v>
      </c>
      <c r="N13" s="4"/>
      <c r="O13" s="4"/>
      <c r="P13" s="8">
        <f>BalancingMeasures!$N$15*$S13</f>
        <v>24.999999999999996</v>
      </c>
      <c r="Q13" s="238">
        <f t="shared" si="2"/>
        <v>5.3349045430110706</v>
      </c>
      <c r="R13" s="243">
        <f t="shared" si="3"/>
        <v>0.90495836915600003</v>
      </c>
      <c r="S13" s="107">
        <v>6</v>
      </c>
      <c r="T13" s="107"/>
      <c r="U13" s="107"/>
      <c r="V13" s="107"/>
      <c r="W13" s="158"/>
      <c r="X13" s="159"/>
      <c r="Y13" s="158"/>
      <c r="Z13" s="158"/>
    </row>
    <row r="14" spans="2:26" x14ac:dyDescent="0.35">
      <c r="B14" s="10">
        <v>2021</v>
      </c>
      <c r="C14" s="7">
        <f>RefTables!D29+RefTables!$F$49*RefTables!$F$57/1000</f>
        <v>169.38995121257219</v>
      </c>
      <c r="D14" s="111">
        <f>-Inputs_SupplyCurve!AL35/1000</f>
        <v>-20.22341347859831</v>
      </c>
      <c r="E14" s="111">
        <f>-(Inputs_SupplyCurve!AM35+Inputs_SupplyCurve!AN35)/1000-RefTables!D290</f>
        <v>-13.127680341605966</v>
      </c>
      <c r="F14" s="7">
        <f>RefTables!$F$80/1000</f>
        <v>99.970249999999993</v>
      </c>
      <c r="G14" s="4">
        <f>RefTables!$F$127/1000</f>
        <v>36.795041666666663</v>
      </c>
      <c r="H14" s="238">
        <f t="shared" si="0"/>
        <v>0.72643427429875373</v>
      </c>
      <c r="I14" s="263">
        <f t="shared" si="1"/>
        <v>0.99468846031441027</v>
      </c>
      <c r="J14" s="343">
        <f t="shared" si="4"/>
        <v>0</v>
      </c>
      <c r="K14" s="346">
        <f>Inputs_JanElectric!J22+UPDATES!M16</f>
        <v>51.386969166666667</v>
      </c>
      <c r="L14" s="7">
        <f>RefTables!$F$126/1000</f>
        <v>18.940624999999997</v>
      </c>
      <c r="M14" s="4">
        <f>RefTables!$F$125/1000</f>
        <v>12.191666666666666</v>
      </c>
      <c r="N14" s="4"/>
      <c r="O14" s="4"/>
      <c r="P14" s="8">
        <f>BalancingMeasures!$N$15*$S14</f>
        <v>24.999999999999996</v>
      </c>
      <c r="Q14" s="238">
        <f t="shared" si="2"/>
        <v>4.7453224999999932</v>
      </c>
      <c r="R14" s="243">
        <f t="shared" si="3"/>
        <v>0.91546180711488867</v>
      </c>
      <c r="S14" s="107">
        <v>6</v>
      </c>
      <c r="T14" s="107"/>
      <c r="U14" s="107"/>
      <c r="V14" s="107"/>
      <c r="W14" s="158"/>
      <c r="X14" s="159"/>
      <c r="Y14" s="158"/>
      <c r="Z14" s="158"/>
    </row>
    <row r="15" spans="2:26" x14ac:dyDescent="0.35">
      <c r="B15" s="10">
        <v>2022</v>
      </c>
      <c r="C15" s="7">
        <f>RefTables!D30+RefTables!$F$49*RefTables!$F$57/1000</f>
        <v>170.21932900863504</v>
      </c>
      <c r="D15" s="111">
        <f>-Inputs_SupplyCurve!AL36/1000</f>
        <v>-21.90951365234281</v>
      </c>
      <c r="E15" s="111">
        <f>-(Inputs_SupplyCurve!AM36+Inputs_SupplyCurve!AN36)/1000-RefTables!D291</f>
        <v>-13.965365234148209</v>
      </c>
      <c r="F15" s="7">
        <f>RefTables!$F$80/1000</f>
        <v>99.970249999999993</v>
      </c>
      <c r="G15" s="4">
        <f>RefTables!$F$127/1000</f>
        <v>36.795041666666663</v>
      </c>
      <c r="H15" s="238">
        <f t="shared" si="0"/>
        <v>2.4208415445226308</v>
      </c>
      <c r="I15" s="263">
        <f t="shared" si="1"/>
        <v>0.98229929893014911</v>
      </c>
      <c r="J15" s="343">
        <f t="shared" si="4"/>
        <v>0</v>
      </c>
      <c r="K15" s="346">
        <f>Inputs_JanElectric!J23+UPDATES!M17</f>
        <v>42.807323333333322</v>
      </c>
      <c r="L15" s="7">
        <f>RefTables!$F$126/1000</f>
        <v>18.940624999999997</v>
      </c>
      <c r="M15" s="4">
        <f>RefTables!$F$125/1000</f>
        <v>12.191666666666666</v>
      </c>
      <c r="N15" s="4"/>
      <c r="O15" s="4"/>
      <c r="P15" s="8">
        <f>BalancingMeasures!$N$15*$S15</f>
        <v>24.999999999999996</v>
      </c>
      <c r="Q15" s="238">
        <f t="shared" si="2"/>
        <v>13.324968333333338</v>
      </c>
      <c r="R15" s="243">
        <f t="shared" si="3"/>
        <v>0.76261492382207197</v>
      </c>
      <c r="S15" s="107">
        <v>6</v>
      </c>
      <c r="T15" s="107"/>
      <c r="U15" s="107"/>
      <c r="V15" s="107"/>
      <c r="W15" s="158"/>
      <c r="X15" s="159"/>
      <c r="Y15" s="158"/>
      <c r="Z15" s="158"/>
    </row>
    <row r="16" spans="2:26" x14ac:dyDescent="0.35">
      <c r="B16" s="10">
        <v>2023</v>
      </c>
      <c r="C16" s="7">
        <f>RefTables!D31+RefTables!$F$49*RefTables!$F$57/1000</f>
        <v>171.0528536936782</v>
      </c>
      <c r="D16" s="111">
        <f>-Inputs_SupplyCurve!AL37/1000</f>
        <v>-23.182898839076685</v>
      </c>
      <c r="E16" s="111">
        <f>-(Inputs_SupplyCurve!AM37+Inputs_SupplyCurve!AN37)/1000-RefTables!D292</f>
        <v>-14.803050126690451</v>
      </c>
      <c r="F16" s="7">
        <f>RefTables!$F$80/1000</f>
        <v>99.970249999999993</v>
      </c>
      <c r="G16" s="4">
        <f>RefTables!$F$127/1000</f>
        <v>36.795041666666663</v>
      </c>
      <c r="H16" s="238">
        <f t="shared" si="0"/>
        <v>3.6983869387555615</v>
      </c>
      <c r="I16" s="263">
        <f t="shared" si="1"/>
        <v>0.97295814680986814</v>
      </c>
      <c r="J16" s="343">
        <f t="shared" si="4"/>
        <v>0</v>
      </c>
      <c r="K16" s="346">
        <f>Inputs_JanElectric!J24+UPDATES!M18</f>
        <v>42.104467500000005</v>
      </c>
      <c r="L16" s="7">
        <f>RefTables!$F$126/1000</f>
        <v>18.940624999999997</v>
      </c>
      <c r="M16" s="4">
        <f>RefTables!$F$125/1000</f>
        <v>12.191666666666666</v>
      </c>
      <c r="N16" s="4"/>
      <c r="O16" s="4"/>
      <c r="P16" s="8">
        <f>BalancingMeasures!$N$15*$S16</f>
        <v>24.999999999999996</v>
      </c>
      <c r="Q16" s="238">
        <f t="shared" si="2"/>
        <v>14.027824166666655</v>
      </c>
      <c r="R16" s="243">
        <f t="shared" si="3"/>
        <v>0.75009350678271214</v>
      </c>
      <c r="S16" s="107">
        <v>6</v>
      </c>
      <c r="T16" s="107"/>
      <c r="U16" s="107"/>
      <c r="V16" s="107"/>
      <c r="W16" s="158"/>
      <c r="X16" s="159"/>
      <c r="Y16" s="158"/>
      <c r="Z16" s="158"/>
    </row>
    <row r="17" spans="2:26" x14ac:dyDescent="0.35">
      <c r="B17" s="10">
        <v>2024</v>
      </c>
      <c r="C17" s="7">
        <f>RefTables!D32+RefTables!$F$49*RefTables!$F$57/1000</f>
        <v>171.89054600214658</v>
      </c>
      <c r="D17" s="111">
        <f>-Inputs_SupplyCurve!AL38/1000</f>
        <v>-24.565436162716658</v>
      </c>
      <c r="E17" s="111">
        <f>-(Inputs_SupplyCurve!AM38+Inputs_SupplyCurve!AN38)/1000-RefTables!D293</f>
        <v>-15.640735019232693</v>
      </c>
      <c r="F17" s="7">
        <f>RefTables!$F$80/1000</f>
        <v>99.970249999999993</v>
      </c>
      <c r="G17" s="4">
        <f>RefTables!$F$127/1000</f>
        <v>36.795041666666663</v>
      </c>
      <c r="H17" s="238">
        <f t="shared" si="0"/>
        <v>5.080916846469421</v>
      </c>
      <c r="I17" s="263">
        <f t="shared" si="1"/>
        <v>0.96284936927672438</v>
      </c>
      <c r="J17" s="343">
        <f t="shared" si="4"/>
        <v>0</v>
      </c>
      <c r="K17" s="346">
        <f>Inputs_JanElectric!J25+UPDATES!M19</f>
        <v>43.984651666666657</v>
      </c>
      <c r="L17" s="7">
        <f>RefTables!$F$126/1000</f>
        <v>18.940624999999997</v>
      </c>
      <c r="M17" s="4">
        <f>RefTables!$F$125/1000</f>
        <v>12.191666666666666</v>
      </c>
      <c r="N17" s="4"/>
      <c r="O17" s="4"/>
      <c r="P17" s="8">
        <f>BalancingMeasures!$N$15*$S17</f>
        <v>24.999999999999996</v>
      </c>
      <c r="Q17" s="238">
        <f t="shared" si="2"/>
        <v>12.147640000000003</v>
      </c>
      <c r="R17" s="243">
        <f t="shared" si="3"/>
        <v>0.78358909570026158</v>
      </c>
      <c r="S17" s="107">
        <v>6</v>
      </c>
      <c r="T17" s="107"/>
      <c r="U17" s="107"/>
      <c r="V17" s="107"/>
      <c r="W17" s="158"/>
      <c r="X17" s="159"/>
      <c r="Y17" s="158"/>
      <c r="Z17" s="158"/>
    </row>
    <row r="18" spans="2:26" x14ac:dyDescent="0.35">
      <c r="B18" s="10">
        <v>2025</v>
      </c>
      <c r="C18" s="7">
        <f>RefTables!D33+RefTables!$F$49*RefTables!$F$57/1000</f>
        <v>172.73242677215728</v>
      </c>
      <c r="D18" s="111">
        <f>-Inputs_SupplyCurve!AL39/1000</f>
        <v>-25.886859714250889</v>
      </c>
      <c r="E18" s="111">
        <f>-(Inputs_SupplyCurve!AM39+Inputs_SupplyCurve!AN39)/1000-RefTables!D294</f>
        <v>-16.478419911774935</v>
      </c>
      <c r="F18" s="7">
        <f>RefTables!$F$80/1000</f>
        <v>99.970249999999993</v>
      </c>
      <c r="G18" s="4">
        <f>RefTables!$F$127/1000</f>
        <v>36.795041666666663</v>
      </c>
      <c r="H18" s="238">
        <f t="shared" si="0"/>
        <v>6.3981445205351974</v>
      </c>
      <c r="I18" s="263">
        <f t="shared" si="1"/>
        <v>0.95321806839611634</v>
      </c>
      <c r="J18" s="343">
        <f t="shared" si="4"/>
        <v>0</v>
      </c>
      <c r="K18" s="346">
        <f>Inputs_JanElectric!J26+UPDATES!M20</f>
        <v>43.774365833333327</v>
      </c>
      <c r="L18" s="7">
        <f>RefTables!$F$126/1000</f>
        <v>18.940624999999997</v>
      </c>
      <c r="M18" s="4">
        <f>RefTables!$F$125/1000</f>
        <v>12.191666666666666</v>
      </c>
      <c r="N18" s="4"/>
      <c r="O18" s="4"/>
      <c r="P18" s="8">
        <f>BalancingMeasures!$N$15*$S18</f>
        <v>24.999999999999996</v>
      </c>
      <c r="Q18" s="238">
        <f t="shared" si="2"/>
        <v>12.357925833333333</v>
      </c>
      <c r="R18" s="243">
        <f t="shared" si="3"/>
        <v>0.77984284150166083</v>
      </c>
      <c r="S18" s="107">
        <v>6</v>
      </c>
      <c r="T18" s="107"/>
      <c r="U18" s="107"/>
      <c r="V18" s="107"/>
      <c r="W18" s="158"/>
      <c r="X18" s="159"/>
      <c r="Y18" s="159"/>
      <c r="Z18" s="158"/>
    </row>
    <row r="19" spans="2:26" x14ac:dyDescent="0.35">
      <c r="B19" s="10">
        <v>2026</v>
      </c>
      <c r="C19" s="7">
        <f>RefTables!D34+RefTables!$F$49*RefTables!$F$57/1000</f>
        <v>173.57851694601806</v>
      </c>
      <c r="D19" s="111">
        <f>-Inputs_SupplyCurve!AL40/1000</f>
        <v>-27.18265446536002</v>
      </c>
      <c r="E19" s="111">
        <f>-(Inputs_SupplyCurve!AM40+Inputs_SupplyCurve!AN40)/1000-RefTables!D295</f>
        <v>-17.316104804317177</v>
      </c>
      <c r="F19" s="7">
        <f>RefTables!$F$80/1000</f>
        <v>99.970249999999993</v>
      </c>
      <c r="G19" s="4">
        <f>RefTables!$F$127/1000</f>
        <v>36.795041666666663</v>
      </c>
      <c r="H19" s="238">
        <f t="shared" si="0"/>
        <v>7.6855339903258084</v>
      </c>
      <c r="I19" s="263">
        <f t="shared" si="1"/>
        <v>0.94380493839725432</v>
      </c>
      <c r="J19" s="343">
        <f t="shared" si="4"/>
        <v>0</v>
      </c>
      <c r="K19" s="346">
        <f>Inputs_JanElectric!J27+UPDATES!M21</f>
        <v>43.564079999999997</v>
      </c>
      <c r="L19" s="7">
        <f>RefTables!$F$126/1000</f>
        <v>18.940624999999997</v>
      </c>
      <c r="M19" s="4">
        <f>RefTables!$F$125/1000</f>
        <v>12.191666666666666</v>
      </c>
      <c r="N19" s="4"/>
      <c r="O19" s="4"/>
      <c r="P19" s="8">
        <f>BalancingMeasures!$N$15*$S19</f>
        <v>24.999999999999996</v>
      </c>
      <c r="Q19" s="238">
        <f t="shared" si="2"/>
        <v>12.568211666666663</v>
      </c>
      <c r="R19" s="243">
        <f t="shared" si="3"/>
        <v>0.77609658730306019</v>
      </c>
      <c r="S19" s="107">
        <v>6</v>
      </c>
      <c r="T19" s="107"/>
      <c r="U19" s="107"/>
      <c r="V19" s="107"/>
      <c r="W19" s="158"/>
      <c r="X19" s="159"/>
      <c r="Y19" s="159"/>
      <c r="Z19" s="158"/>
    </row>
    <row r="20" spans="2:26" x14ac:dyDescent="0.35">
      <c r="B20" s="10">
        <v>2027</v>
      </c>
      <c r="C20" s="7">
        <f>RefTables!D35+RefTables!$F$49*RefTables!$F$57/1000</f>
        <v>174.42883757074813</v>
      </c>
      <c r="D20" s="111">
        <f>-Inputs_SupplyCurve!AL41/1000</f>
        <v>-28.304050867980358</v>
      </c>
      <c r="E20" s="111">
        <f>-(Inputs_SupplyCurve!AM41+Inputs_SupplyCurve!AN41)/1000-RefTables!D296</f>
        <v>-18.15378969685942</v>
      </c>
      <c r="F20" s="7">
        <f>RefTables!$F$80/1000</f>
        <v>99.970249999999993</v>
      </c>
      <c r="G20" s="4">
        <f>RefTables!$F$127/1000</f>
        <v>36.795041666666663</v>
      </c>
      <c r="H20" s="238">
        <f t="shared" si="0"/>
        <v>8.7942946607582968</v>
      </c>
      <c r="I20" s="263">
        <f t="shared" si="1"/>
        <v>0.93569790585324575</v>
      </c>
      <c r="J20" s="343">
        <f t="shared" si="4"/>
        <v>0</v>
      </c>
      <c r="K20" s="346">
        <f>Inputs_JanElectric!J28+UPDATES!M22</f>
        <v>44.681644166666665</v>
      </c>
      <c r="L20" s="7">
        <f>RefTables!$F$126/1000</f>
        <v>18.940624999999997</v>
      </c>
      <c r="M20" s="4">
        <f>RefTables!$F$125/1000</f>
        <v>12.191666666666666</v>
      </c>
      <c r="N20" s="4"/>
      <c r="O20" s="4"/>
      <c r="P20" s="8">
        <f>BalancingMeasures!$N$15*$S20</f>
        <v>24.999999999999996</v>
      </c>
      <c r="Q20" s="238">
        <f t="shared" si="2"/>
        <v>11.450647499999995</v>
      </c>
      <c r="R20" s="243">
        <f t="shared" si="3"/>
        <v>0.79600605711952799</v>
      </c>
      <c r="S20" s="107">
        <v>6</v>
      </c>
      <c r="T20" s="107"/>
      <c r="U20" s="107"/>
      <c r="V20" s="107"/>
      <c r="W20" s="158"/>
      <c r="X20" s="159"/>
      <c r="Y20" s="159"/>
      <c r="Z20" s="158"/>
    </row>
    <row r="21" spans="2:26" x14ac:dyDescent="0.35">
      <c r="B21" s="10">
        <v>2028</v>
      </c>
      <c r="C21" s="7">
        <f>RefTables!D36+RefTables!$F$49*RefTables!$F$57/1000</f>
        <v>175.28340979860184</v>
      </c>
      <c r="D21" s="111">
        <f>-Inputs_SupplyCurve!AL42/1000</f>
        <v>-29.448208457740751</v>
      </c>
      <c r="E21" s="111">
        <f>-(Inputs_SupplyCurve!AM42+Inputs_SupplyCurve!AN42)/1000-RefTables!D297</f>
        <v>-18.991474589401662</v>
      </c>
      <c r="F21" s="7">
        <f>RefTables!$F$80/1000</f>
        <v>99.970249999999993</v>
      </c>
      <c r="G21" s="4">
        <f>RefTables!$F$127/1000</f>
        <v>36.795041666666663</v>
      </c>
      <c r="H21" s="238">
        <f t="shared" si="0"/>
        <v>9.9215649152072274</v>
      </c>
      <c r="I21" s="263">
        <f t="shared" si="1"/>
        <v>0.92745553499502842</v>
      </c>
      <c r="J21" s="343">
        <f t="shared" si="4"/>
        <v>0</v>
      </c>
      <c r="K21" s="346">
        <f>Inputs_JanElectric!J29+UPDATES!M23</f>
        <v>48.663038333333333</v>
      </c>
      <c r="L21" s="7">
        <f>RefTables!$F$126/1000</f>
        <v>18.940624999999997</v>
      </c>
      <c r="M21" s="4">
        <f>RefTables!$F$125/1000</f>
        <v>12.191666666666666</v>
      </c>
      <c r="N21" s="4"/>
      <c r="O21" s="4"/>
      <c r="P21" s="8">
        <f>BalancingMeasures!$N$15*$S21</f>
        <v>24.999999999999996</v>
      </c>
      <c r="Q21" s="238">
        <f t="shared" si="2"/>
        <v>7.4692533333333273</v>
      </c>
      <c r="R21" s="243">
        <f t="shared" si="3"/>
        <v>0.86693482287008006</v>
      </c>
      <c r="S21" s="107">
        <v>6</v>
      </c>
      <c r="T21" s="107"/>
      <c r="U21" s="107"/>
      <c r="V21" s="107"/>
      <c r="W21" s="158"/>
      <c r="X21" s="159"/>
      <c r="Y21" s="159"/>
      <c r="Z21" s="158"/>
    </row>
    <row r="22" spans="2:26" x14ac:dyDescent="0.35">
      <c r="B22" s="10">
        <v>2029</v>
      </c>
      <c r="C22" s="7">
        <f>RefTables!D37+RefTables!$F$49*RefTables!$F$57/1000</f>
        <v>176.14225488759482</v>
      </c>
      <c r="D22" s="111">
        <f>-Inputs_SupplyCurve!AL43/1000</f>
        <v>-30.452912216197198</v>
      </c>
      <c r="E22" s="111">
        <f>-(Inputs_SupplyCurve!AM43+Inputs_SupplyCurve!AN43)/1000-RefTables!D298</f>
        <v>-19.829159481943904</v>
      </c>
      <c r="F22" s="7">
        <f>RefTables!$F$80/1000</f>
        <v>99.970249999999993</v>
      </c>
      <c r="G22" s="4">
        <f>RefTables!$F$127/1000</f>
        <v>36.795041666666663</v>
      </c>
      <c r="H22" s="238">
        <f t="shared" si="0"/>
        <v>10.905108477212949</v>
      </c>
      <c r="I22" s="263">
        <f t="shared" si="1"/>
        <v>0.92026406448361475</v>
      </c>
      <c r="J22" s="343">
        <f t="shared" si="4"/>
        <v>0</v>
      </c>
      <c r="K22" s="346">
        <f>Inputs_JanElectric!J30+UPDATES!M24</f>
        <v>47.805222499999992</v>
      </c>
      <c r="L22" s="7">
        <f>RefTables!$F$126/1000</f>
        <v>18.940624999999997</v>
      </c>
      <c r="M22" s="4">
        <f>RefTables!$F$125/1000</f>
        <v>12.191666666666666</v>
      </c>
      <c r="N22" s="4"/>
      <c r="O22" s="4"/>
      <c r="P22" s="8">
        <f>BalancingMeasures!$N$15*$S22</f>
        <v>24.999999999999996</v>
      </c>
      <c r="Q22" s="238">
        <f t="shared" si="2"/>
        <v>8.3270691666666679</v>
      </c>
      <c r="R22" s="243">
        <f t="shared" si="3"/>
        <v>0.85165278453059179</v>
      </c>
      <c r="S22" s="107">
        <v>6</v>
      </c>
      <c r="T22" s="107"/>
      <c r="U22" s="107"/>
      <c r="V22" s="107"/>
      <c r="W22" s="158"/>
      <c r="X22" s="159"/>
      <c r="Y22" s="159"/>
      <c r="Z22" s="158"/>
    </row>
    <row r="23" spans="2:26" ht="18" thickBot="1" x14ac:dyDescent="0.4">
      <c r="B23" s="11">
        <v>2030</v>
      </c>
      <c r="C23" s="12">
        <f>RefTables!D38+RefTables!$F$49*RefTables!$F$57/1000</f>
        <v>177.00539420203276</v>
      </c>
      <c r="D23" s="112">
        <f>-Inputs_SupplyCurve!AL44/1000</f>
        <v>-31.418873807243386</v>
      </c>
      <c r="E23" s="112">
        <f>-(Inputs_SupplyCurve!AM44+Inputs_SupplyCurve!AN44)/1000-RefTables!D299</f>
        <v>-20.666844374486139</v>
      </c>
      <c r="F23" s="12">
        <f>RefTables!$F$80/1000</f>
        <v>99.970249999999993</v>
      </c>
      <c r="G23" s="13">
        <f>RefTables!$F$127/1000</f>
        <v>36.795041666666663</v>
      </c>
      <c r="H23" s="239">
        <f t="shared" si="0"/>
        <v>11.845615646363427</v>
      </c>
      <c r="I23" s="264">
        <f t="shared" si="1"/>
        <v>0.91338726732485365</v>
      </c>
      <c r="J23" s="344">
        <f t="shared" si="4"/>
        <v>0</v>
      </c>
      <c r="K23" s="347">
        <f>Inputs_JanElectric!J31+UPDATES!M25</f>
        <v>46.473246666666661</v>
      </c>
      <c r="L23" s="12">
        <f>RefTables!$F$126/1000</f>
        <v>18.940624999999997</v>
      </c>
      <c r="M23" s="13">
        <f>RefTables!$F$125/1000</f>
        <v>12.191666666666666</v>
      </c>
      <c r="N23" s="13"/>
      <c r="O23" s="13"/>
      <c r="P23" s="14">
        <f>BalancingMeasures!$N$15*$S23</f>
        <v>24.999999999999996</v>
      </c>
      <c r="Q23" s="239">
        <f t="shared" si="2"/>
        <v>9.659044999999999</v>
      </c>
      <c r="R23" s="252">
        <f t="shared" si="3"/>
        <v>0.82792355855772259</v>
      </c>
      <c r="S23" s="107">
        <v>6</v>
      </c>
      <c r="T23" s="107"/>
      <c r="U23" s="107"/>
      <c r="V23" s="107"/>
      <c r="W23" s="158"/>
      <c r="X23" s="159"/>
      <c r="Y23" s="159"/>
      <c r="Z23" s="158"/>
    </row>
    <row r="25" spans="2:26" ht="21.75" x14ac:dyDescent="0.45">
      <c r="B25" s="440" t="s">
        <v>3</v>
      </c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185"/>
      <c r="T25" s="185"/>
    </row>
    <row r="26" spans="2:26" ht="18" thickBot="1" x14ac:dyDescent="0.4">
      <c r="B26" s="2"/>
      <c r="C26" s="2"/>
      <c r="D26" s="184"/>
      <c r="E26" s="184"/>
      <c r="F26" s="75"/>
      <c r="G26" s="2"/>
      <c r="H26" s="2"/>
      <c r="I26" s="2"/>
    </row>
    <row r="27" spans="2:26" ht="19.5" customHeight="1" x14ac:dyDescent="0.4">
      <c r="B27" s="460" t="s">
        <v>549</v>
      </c>
      <c r="C27" s="454" t="s">
        <v>435</v>
      </c>
      <c r="D27" s="455"/>
      <c r="E27" s="455"/>
      <c r="F27" s="437" t="s">
        <v>551</v>
      </c>
      <c r="G27" s="438"/>
      <c r="H27" s="433" t="s">
        <v>1</v>
      </c>
      <c r="J27" s="456" t="s">
        <v>347</v>
      </c>
      <c r="K27" s="452" t="s">
        <v>435</v>
      </c>
      <c r="L27" s="453"/>
      <c r="M27" s="453"/>
      <c r="N27" s="435" t="s">
        <v>551</v>
      </c>
      <c r="O27" s="439"/>
      <c r="P27" s="435" t="s">
        <v>1</v>
      </c>
      <c r="Q27" s="435" t="s">
        <v>559</v>
      </c>
      <c r="R27" s="441"/>
    </row>
    <row r="28" spans="2:26" ht="52.5" customHeight="1" thickBot="1" x14ac:dyDescent="0.4">
      <c r="B28" s="461"/>
      <c r="C28" s="156" t="s">
        <v>456</v>
      </c>
      <c r="D28" s="157" t="s">
        <v>425</v>
      </c>
      <c r="E28" s="157" t="s">
        <v>20</v>
      </c>
      <c r="F28" s="350" t="s">
        <v>267</v>
      </c>
      <c r="G28" s="348" t="s">
        <v>106</v>
      </c>
      <c r="H28" s="434"/>
      <c r="J28" s="457"/>
      <c r="K28" s="154" t="s">
        <v>456</v>
      </c>
      <c r="L28" s="155" t="s">
        <v>425</v>
      </c>
      <c r="M28" s="155" t="s">
        <v>20</v>
      </c>
      <c r="N28" s="351" t="s">
        <v>537</v>
      </c>
      <c r="O28" s="349" t="s">
        <v>106</v>
      </c>
      <c r="P28" s="436"/>
      <c r="Q28" s="154" t="s">
        <v>560</v>
      </c>
      <c r="R28" s="357" t="s">
        <v>558</v>
      </c>
    </row>
    <row r="29" spans="2:26" x14ac:dyDescent="0.35">
      <c r="B29" s="9">
        <v>2015</v>
      </c>
      <c r="C29" s="5">
        <f>RefTables!C23/1000+(RefTables!$F$49*RefTables!$F$57/RefTables!E23)*10^-6</f>
        <v>262.16001363122507</v>
      </c>
      <c r="D29" s="110">
        <f>-Inputs_SupplyCurve!X29*10^-6</f>
        <v>-14.748059417778327</v>
      </c>
      <c r="E29" s="110">
        <f>-(Inputs_SupplyCurve!Y29+Inputs_SupplyCurve!Z29)*10^-6-RefTables!C284</f>
        <v>-11.961418513571806</v>
      </c>
      <c r="F29" s="342">
        <f>Inputs_AnnualElectric!X16*10^-6+UPDATES!U10</f>
        <v>181.64759999999998</v>
      </c>
      <c r="G29" s="345">
        <f t="shared" ref="G29:G44" si="5">-O8/1000</f>
        <v>-3.5839999999999999E-3</v>
      </c>
      <c r="H29" s="278">
        <f t="shared" ref="H29:H44" si="6">SUM(C29:E29,F29,G29)</f>
        <v>417.0945516998749</v>
      </c>
      <c r="I29" s="77"/>
      <c r="J29" s="9">
        <v>2015</v>
      </c>
      <c r="K29" s="5">
        <f>C29*RefTables!$O139</f>
        <v>13.786087607379818</v>
      </c>
      <c r="L29" s="3">
        <f>D29*RefTables!$O139</f>
        <v>-0.77554939197683359</v>
      </c>
      <c r="M29" s="3">
        <f>E29*RefTables!$O139</f>
        <v>-0.62900959323491168</v>
      </c>
      <c r="N29" s="342">
        <f>Inputs_AnnualElectric!Y16*10^-6+UPDATES!Q10</f>
        <v>18.312398863440702</v>
      </c>
      <c r="O29" s="345">
        <f>O8*RefTables!I165/1000</f>
        <v>8.7403251841546467E-5</v>
      </c>
      <c r="P29" s="342">
        <f t="shared" ref="P29:P44" si="7">SUM(K29:M29,N29,O29)</f>
        <v>30.694014888860618</v>
      </c>
      <c r="Q29" s="5" t="s">
        <v>561</v>
      </c>
      <c r="R29" s="358" t="s">
        <v>561</v>
      </c>
    </row>
    <row r="30" spans="2:26" x14ac:dyDescent="0.35">
      <c r="B30" s="10">
        <v>2016</v>
      </c>
      <c r="C30" s="7">
        <f>RefTables!C24/1000+(RefTables!$F$49*RefTables!$F$57/RefTables!E24)*10^-6</f>
        <v>266.66263355879875</v>
      </c>
      <c r="D30" s="111">
        <f>-Inputs_SupplyCurve!X30*10^-6</f>
        <v>-19.307915165203109</v>
      </c>
      <c r="E30" s="111">
        <f>-(Inputs_SupplyCurve!Y30+Inputs_SupplyCurve!Z30)*10^-6-RefTables!C285</f>
        <v>-13.670192586939207</v>
      </c>
      <c r="F30" s="343">
        <f>Inputs_AnnualElectric!X17*10^-6+UPDATES!U11</f>
        <v>184.2846854</v>
      </c>
      <c r="G30" s="346">
        <f t="shared" si="5"/>
        <v>0</v>
      </c>
      <c r="H30" s="279">
        <f t="shared" si="6"/>
        <v>417.96921120665644</v>
      </c>
      <c r="I30" s="77"/>
      <c r="J30" s="10">
        <v>2016</v>
      </c>
      <c r="K30" s="7">
        <f>C30*RefTables!$O140</f>
        <v>14.023318260131667</v>
      </c>
      <c r="L30" s="4">
        <f>D30*RefTables!$O140</f>
        <v>-1.0153692539812236</v>
      </c>
      <c r="M30" s="4">
        <f>E30*RefTables!$O140</f>
        <v>-0.71889135258866788</v>
      </c>
      <c r="N30" s="343">
        <f>Inputs_AnnualElectric!Y17*10^-6+UPDATES!Q11</f>
        <v>18.029511097248623</v>
      </c>
      <c r="O30" s="346">
        <f>O9*RefTables!I166/1000</f>
        <v>0</v>
      </c>
      <c r="P30" s="343">
        <f t="shared" si="7"/>
        <v>30.3185687508104</v>
      </c>
      <c r="Q30" s="7" t="s">
        <v>561</v>
      </c>
      <c r="R30" s="359" t="s">
        <v>561</v>
      </c>
    </row>
    <row r="31" spans="2:26" x14ac:dyDescent="0.35">
      <c r="B31" s="10">
        <v>2017</v>
      </c>
      <c r="C31" s="7">
        <f>RefTables!C25/1000+(RefTables!$F$49*RefTables!$F$57/RefTables!E25)*10^-6</f>
        <v>269.91601236696005</v>
      </c>
      <c r="D31" s="111">
        <f>-Inputs_SupplyCurve!X31*10^-6</f>
        <v>-23.158718860387786</v>
      </c>
      <c r="E31" s="111">
        <f>-(Inputs_SupplyCurve!Y31+Inputs_SupplyCurve!Z31)*10^-6-RefTables!C286</f>
        <v>-15.378966660306608</v>
      </c>
      <c r="F31" s="343">
        <f>Inputs_AnnualElectric!X18*10^-6+UPDATES!U12</f>
        <v>192.8572508</v>
      </c>
      <c r="G31" s="346">
        <f t="shared" si="5"/>
        <v>0</v>
      </c>
      <c r="H31" s="279">
        <f t="shared" si="6"/>
        <v>424.23557764626565</v>
      </c>
      <c r="I31" s="77"/>
      <c r="J31" s="10">
        <v>2017</v>
      </c>
      <c r="K31" s="7">
        <f>C31*RefTables!$O141</f>
        <v>14.194624727085387</v>
      </c>
      <c r="L31" s="4">
        <f>D31*RefTables!$O141</f>
        <v>-1.2178948573690411</v>
      </c>
      <c r="M31" s="4">
        <f>E31*RefTables!$O141</f>
        <v>-0.80876513593652766</v>
      </c>
      <c r="N31" s="343">
        <f>Inputs_AnnualElectric!Y18*10^-6+UPDATES!Q12</f>
        <v>17.205003119591971</v>
      </c>
      <c r="O31" s="346">
        <f>O10*RefTables!I167/1000</f>
        <v>0</v>
      </c>
      <c r="P31" s="343">
        <f t="shared" si="7"/>
        <v>29.37296785337179</v>
      </c>
      <c r="Q31" s="7" t="s">
        <v>561</v>
      </c>
      <c r="R31" s="359" t="s">
        <v>561</v>
      </c>
    </row>
    <row r="32" spans="2:26" x14ac:dyDescent="0.35">
      <c r="B32" s="10">
        <v>2018</v>
      </c>
      <c r="C32" s="7">
        <f>RefTables!C26/1000+(RefTables!$F$49*RefTables!$F$57/RefTables!E26)*10^-6</f>
        <v>273.65353546042417</v>
      </c>
      <c r="D32" s="111">
        <f>-Inputs_SupplyCurve!X32*10^-6</f>
        <v>-26.774935019651814</v>
      </c>
      <c r="E32" s="111">
        <f>-(Inputs_SupplyCurve!Y32+Inputs_SupplyCurve!Z32)*10^-6-RefTables!C287</f>
        <v>-17.087740733674007</v>
      </c>
      <c r="F32" s="343">
        <f>Inputs_AnnualElectric!X19*10^-6+UPDATES!U13</f>
        <v>171.20452619999998</v>
      </c>
      <c r="G32" s="346">
        <f t="shared" si="5"/>
        <v>0</v>
      </c>
      <c r="H32" s="279">
        <f t="shared" si="6"/>
        <v>400.99538590709835</v>
      </c>
      <c r="I32" s="77"/>
      <c r="J32" s="10">
        <v>2018</v>
      </c>
      <c r="K32" s="7">
        <f>C32*RefTables!$O142</f>
        <v>14.392299716320712</v>
      </c>
      <c r="L32" s="4">
        <f>D32*RefTables!$O142</f>
        <v>-1.4081780052265034</v>
      </c>
      <c r="M32" s="4">
        <f>E32*RefTables!$O142</f>
        <v>-0.8986980040292043</v>
      </c>
      <c r="N32" s="343">
        <f>Inputs_AnnualElectric!Y19*10^-6+UPDATES!Q13</f>
        <v>13.977362162071378</v>
      </c>
      <c r="O32" s="346">
        <f>O11*RefTables!I168/1000</f>
        <v>0</v>
      </c>
      <c r="P32" s="343">
        <f t="shared" si="7"/>
        <v>26.062785869136384</v>
      </c>
      <c r="Q32" s="7" t="s">
        <v>561</v>
      </c>
      <c r="R32" s="359" t="s">
        <v>561</v>
      </c>
    </row>
    <row r="33" spans="2:20" x14ac:dyDescent="0.35">
      <c r="B33" s="10">
        <v>2019</v>
      </c>
      <c r="C33" s="7">
        <f>RefTables!C27/1000+(RefTables!$F$49*RefTables!$F$57/RefTables!E27)*10^-6</f>
        <v>277.53709599613234</v>
      </c>
      <c r="D33" s="111">
        <f>-Inputs_SupplyCurve!X33*10^-6</f>
        <v>-30.396762582542703</v>
      </c>
      <c r="E33" s="111">
        <f>-(Inputs_SupplyCurve!Y33+Inputs_SupplyCurve!Z33)*10^-6-RefTables!C288</f>
        <v>-18.796514807041408</v>
      </c>
      <c r="F33" s="343">
        <f>Inputs_AnnualElectric!X20*10^-6+UPDATES!U14</f>
        <v>174.46852159999997</v>
      </c>
      <c r="G33" s="346">
        <f t="shared" si="5"/>
        <v>0</v>
      </c>
      <c r="H33" s="279">
        <f t="shared" si="6"/>
        <v>402.81234020654824</v>
      </c>
      <c r="I33" s="77"/>
      <c r="J33" s="10">
        <v>2019</v>
      </c>
      <c r="K33" s="7">
        <f>C33*RefTables!$O143</f>
        <v>14.597233580002769</v>
      </c>
      <c r="L33" s="4">
        <f>D33*RefTables!$O143</f>
        <v>-1.5987363487418178</v>
      </c>
      <c r="M33" s="4">
        <f>E33*RefTables!$O143</f>
        <v>-0.98861421080873357</v>
      </c>
      <c r="N33" s="343">
        <f>Inputs_AnnualElectric!Y20*10^-6+UPDATES!Q14</f>
        <v>13.872650863127218</v>
      </c>
      <c r="O33" s="346">
        <f>O12*RefTables!I169/1000</f>
        <v>0</v>
      </c>
      <c r="P33" s="343">
        <f t="shared" si="7"/>
        <v>25.882533883579434</v>
      </c>
      <c r="Q33" s="7" t="s">
        <v>561</v>
      </c>
      <c r="R33" s="359" t="s">
        <v>561</v>
      </c>
    </row>
    <row r="34" spans="2:20" x14ac:dyDescent="0.35">
      <c r="B34" s="10">
        <v>2020</v>
      </c>
      <c r="C34" s="7">
        <f>RefTables!C28/1000+(RefTables!$F$49*RefTables!$F$57/RefTables!E28)*10^-6</f>
        <v>278.89570810406974</v>
      </c>
      <c r="D34" s="111">
        <f>-Inputs_SupplyCurve!X34*10^-6</f>
        <v>-34.099856575886072</v>
      </c>
      <c r="E34" s="111">
        <f>-(Inputs_SupplyCurve!Y34+Inputs_SupplyCurve!Z34)*10^-6-RefTables!C289</f>
        <v>-20.505288880408809</v>
      </c>
      <c r="F34" s="343">
        <f>Inputs_AnnualElectric!X21*10^-6+UPDATES!U15</f>
        <v>214.76619699999998</v>
      </c>
      <c r="G34" s="346">
        <f t="shared" si="5"/>
        <v>0</v>
      </c>
      <c r="H34" s="279">
        <f t="shared" si="6"/>
        <v>439.05675964777481</v>
      </c>
      <c r="I34" s="77"/>
      <c r="J34" s="10">
        <v>2020</v>
      </c>
      <c r="K34" s="7">
        <f>C34*RefTables!$O144</f>
        <v>14.669979949578757</v>
      </c>
      <c r="L34" s="4">
        <f>D34*RefTables!$O144</f>
        <v>-1.7936604892646615</v>
      </c>
      <c r="M34" s="4">
        <f>E34*RefTables!$O144</f>
        <v>-1.0785830258229345</v>
      </c>
      <c r="N34" s="343">
        <f>Inputs_AnnualElectric!Y21*10^-6+UPDATES!Q15</f>
        <v>13.163780208018178</v>
      </c>
      <c r="O34" s="346">
        <f>O13*RefTables!I170/1000</f>
        <v>0</v>
      </c>
      <c r="P34" s="238">
        <f>SUM(K34:M34,N34,O34)</f>
        <v>24.961516642509338</v>
      </c>
      <c r="Q34" s="7">
        <f>RefTables!$F$227</f>
        <v>23.326496260794567</v>
      </c>
      <c r="R34" s="360" t="str">
        <f>IF(P34&lt;=Q34,"Yes","No")</f>
        <v>No</v>
      </c>
      <c r="T34" s="189">
        <f>P34-Q34</f>
        <v>1.6350203817147708</v>
      </c>
    </row>
    <row r="35" spans="2:20" x14ac:dyDescent="0.35">
      <c r="B35" s="10">
        <v>2021</v>
      </c>
      <c r="C35" s="7">
        <f>RefTables!C29/1000+(RefTables!$F$49*RefTables!$F$57/RefTables!E29)*10^-6</f>
        <v>280.26111327254694</v>
      </c>
      <c r="D35" s="111">
        <f>-Inputs_SupplyCurve!X35*10^-6</f>
        <v>-37.20299143522945</v>
      </c>
      <c r="E35" s="111">
        <f>-(Inputs_SupplyCurve!Y35+Inputs_SupplyCurve!Z35)*10^-6-RefTables!C290</f>
        <v>-21.902927372914633</v>
      </c>
      <c r="F35" s="343">
        <f>Inputs_AnnualElectric!X22*10^-6+UPDATES!U16</f>
        <v>203.09825129999999</v>
      </c>
      <c r="G35" s="346">
        <f t="shared" si="5"/>
        <v>0</v>
      </c>
      <c r="H35" s="279">
        <f t="shared" si="6"/>
        <v>424.25344576440284</v>
      </c>
      <c r="I35" s="77"/>
      <c r="J35" s="10">
        <v>2021</v>
      </c>
      <c r="K35" s="7">
        <f>C35*RefTables!$O145</f>
        <v>14.744523354157211</v>
      </c>
      <c r="L35" s="4">
        <f>D35*RefTables!$O145</f>
        <v>-1.9572475455337592</v>
      </c>
      <c r="M35" s="4">
        <f>E35*RefTables!$O145</f>
        <v>-1.1523119294123763</v>
      </c>
      <c r="N35" s="343">
        <f>Inputs_AnnualElectric!Y22*10^-6+UPDATES!Q16</f>
        <v>12.400678686034048</v>
      </c>
      <c r="O35" s="346">
        <f>O14*RefTables!I171/1000</f>
        <v>0</v>
      </c>
      <c r="P35" s="343">
        <f t="shared" si="7"/>
        <v>24.035642565245126</v>
      </c>
      <c r="Q35" s="7" t="s">
        <v>561</v>
      </c>
      <c r="R35" s="359" t="s">
        <v>561</v>
      </c>
    </row>
    <row r="36" spans="2:20" x14ac:dyDescent="0.35">
      <c r="B36" s="10">
        <v>2022</v>
      </c>
      <c r="C36" s="7">
        <f>RefTables!C30/1000+(RefTables!$F$49*RefTables!$F$57/RefTables!E30)*10^-6</f>
        <v>281.63334546686644</v>
      </c>
      <c r="D36" s="111">
        <f>-Inputs_SupplyCurve!X36*10^-6</f>
        <v>-40.304741314849821</v>
      </c>
      <c r="E36" s="111">
        <f>-(Inputs_SupplyCurve!Y36+Inputs_SupplyCurve!Z36)*10^-6-RefTables!C291</f>
        <v>-23.300565865420459</v>
      </c>
      <c r="F36" s="343">
        <f>Inputs_AnnualElectric!X23*10^-6+UPDATES!U17</f>
        <v>169.7925856</v>
      </c>
      <c r="G36" s="346">
        <f t="shared" si="5"/>
        <v>0</v>
      </c>
      <c r="H36" s="279">
        <f t="shared" si="6"/>
        <v>387.8206238865962</v>
      </c>
      <c r="I36" s="77"/>
      <c r="J36" s="10">
        <v>2022</v>
      </c>
      <c r="K36" s="7">
        <f>C36*RefTables!$O146</f>
        <v>14.820700159149807</v>
      </c>
      <c r="L36" s="4">
        <f>D36*RefTables!$O146</f>
        <v>-2.1210005691238818</v>
      </c>
      <c r="M36" s="4">
        <f>E36*RefTables!$O146</f>
        <v>-1.2261712108609133</v>
      </c>
      <c r="N36" s="343">
        <f>Inputs_AnnualElectric!Y23*10^-6+UPDATES!Q17</f>
        <v>9.6622120029276939</v>
      </c>
      <c r="O36" s="346">
        <f>O15*RefTables!I172/1000</f>
        <v>0</v>
      </c>
      <c r="P36" s="343">
        <f t="shared" si="7"/>
        <v>21.135740382092706</v>
      </c>
      <c r="Q36" s="7" t="s">
        <v>561</v>
      </c>
      <c r="R36" s="359" t="s">
        <v>561</v>
      </c>
    </row>
    <row r="37" spans="2:20" x14ac:dyDescent="0.35">
      <c r="B37" s="10">
        <v>2023</v>
      </c>
      <c r="C37" s="7">
        <f>RefTables!C31/1000+(RefTables!$F$49*RefTables!$F$57/RefTables!E31)*10^-6</f>
        <v>283.01243882215761</v>
      </c>
      <c r="D37" s="111">
        <f>-Inputs_SupplyCurve!X37*10^-6</f>
        <v>-42.647260704365458</v>
      </c>
      <c r="E37" s="111">
        <f>-(Inputs_SupplyCurve!Y37+Inputs_SupplyCurve!Z37)*10^-6-RefTables!C292</f>
        <v>-24.698204357926286</v>
      </c>
      <c r="F37" s="343">
        <f>Inputs_AnnualElectric!X24*10^-6+UPDATES!U18</f>
        <v>168.70944990000001</v>
      </c>
      <c r="G37" s="346">
        <f t="shared" si="5"/>
        <v>0</v>
      </c>
      <c r="H37" s="279">
        <f t="shared" si="6"/>
        <v>384.37642365986585</v>
      </c>
      <c r="I37" s="77"/>
      <c r="J37" s="10">
        <v>2023</v>
      </c>
      <c r="K37" s="7">
        <f>C37*RefTables!$O147</f>
        <v>14.898140021790372</v>
      </c>
      <c r="L37" s="4">
        <f>D37*RefTables!$O147</f>
        <v>-2.2450068419737983</v>
      </c>
      <c r="M37" s="4">
        <f>E37*RefTables!$O147</f>
        <v>-1.3001453517115549</v>
      </c>
      <c r="N37" s="343">
        <f>Inputs_AnnualElectric!Y24*10^-6+UPDATES!Q18</f>
        <v>9.0896646993712356</v>
      </c>
      <c r="O37" s="346">
        <f>O16*RefTables!I173/1000</f>
        <v>0</v>
      </c>
      <c r="P37" s="343">
        <f t="shared" si="7"/>
        <v>20.442652527476255</v>
      </c>
      <c r="Q37" s="7" t="s">
        <v>561</v>
      </c>
      <c r="R37" s="359" t="s">
        <v>561</v>
      </c>
    </row>
    <row r="38" spans="2:20" x14ac:dyDescent="0.35">
      <c r="B38" s="10">
        <v>2024</v>
      </c>
      <c r="C38" s="7">
        <f>RefTables!C32/1000+(RefTables!$F$49*RefTables!$F$57/RefTables!E32)*10^-6</f>
        <v>284.39842764422514</v>
      </c>
      <c r="D38" s="111">
        <f>-Inputs_SupplyCurve!X38*10^-6</f>
        <v>-45.190576364933563</v>
      </c>
      <c r="E38" s="111">
        <f>-(Inputs_SupplyCurve!Y38+Inputs_SupplyCurve!Z38)*10^-6-RefTables!C293</f>
        <v>-26.095842850432113</v>
      </c>
      <c r="F38" s="343">
        <f>Inputs_AnnualElectric!X25*10^-6+UPDATES!U19</f>
        <v>184.9082042</v>
      </c>
      <c r="G38" s="346">
        <f t="shared" si="5"/>
        <v>0</v>
      </c>
      <c r="H38" s="279">
        <f t="shared" si="6"/>
        <v>398.02021262885944</v>
      </c>
      <c r="I38" s="77"/>
      <c r="J38" s="10">
        <v>2024</v>
      </c>
      <c r="K38" s="7">
        <f>C38*RefTables!$O148</f>
        <v>14.978332305599096</v>
      </c>
      <c r="L38" s="4">
        <f>D38*RefTables!$O148</f>
        <v>-2.3800394238546407</v>
      </c>
      <c r="M38" s="4">
        <f>E38*RefTables!$O148</f>
        <v>-1.3743824438348697</v>
      </c>
      <c r="N38" s="343">
        <f>Inputs_AnnualElectric!Y25*10^-6+UPDATES!Q19</f>
        <v>8.4426158844316923</v>
      </c>
      <c r="O38" s="346">
        <f>O17*RefTables!I174/1000</f>
        <v>0</v>
      </c>
      <c r="P38" s="343">
        <f t="shared" si="7"/>
        <v>19.666526322341277</v>
      </c>
      <c r="Q38" s="7" t="s">
        <v>561</v>
      </c>
      <c r="R38" s="359" t="s">
        <v>561</v>
      </c>
    </row>
    <row r="39" spans="2:20" x14ac:dyDescent="0.35">
      <c r="B39" s="10">
        <v>2025</v>
      </c>
      <c r="C39" s="7">
        <f>RefTables!C33/1000+(RefTables!$F$49*RefTables!$F$57/RefTables!E33)*10^-6</f>
        <v>285.79134641040304</v>
      </c>
      <c r="D39" s="111">
        <f>-Inputs_SupplyCurve!X39*10^-6</f>
        <v>-47.621467130335922</v>
      </c>
      <c r="E39" s="111">
        <f>-(Inputs_SupplyCurve!Y39+Inputs_SupplyCurve!Z39)*10^-6-RefTables!C294</f>
        <v>-27.49348134293794</v>
      </c>
      <c r="F39" s="343">
        <f>Inputs_AnnualElectric!X26*10^-6+UPDATES!U20</f>
        <v>181.29630849999998</v>
      </c>
      <c r="G39" s="346">
        <f t="shared" si="5"/>
        <v>0</v>
      </c>
      <c r="H39" s="279">
        <f t="shared" si="6"/>
        <v>391.97270643712915</v>
      </c>
      <c r="I39" s="77"/>
      <c r="J39" s="10">
        <v>2025</v>
      </c>
      <c r="K39" s="7">
        <f>C39*RefTables!$O149</f>
        <v>15.060203172349356</v>
      </c>
      <c r="L39" s="4">
        <f>D39*RefTables!$O149</f>
        <v>-2.5094845570247446</v>
      </c>
      <c r="M39" s="4">
        <f>E39*RefTables!$O149</f>
        <v>-1.4488101901631609</v>
      </c>
      <c r="N39" s="343">
        <f>Inputs_AnnualElectric!Y26*10^-6+UPDATES!Q20</f>
        <v>7.8740691328053867</v>
      </c>
      <c r="O39" s="346">
        <f>O18*RefTables!I175/1000</f>
        <v>0</v>
      </c>
      <c r="P39" s="343">
        <f t="shared" si="7"/>
        <v>18.975977557966836</v>
      </c>
      <c r="Q39" s="7" t="s">
        <v>561</v>
      </c>
      <c r="R39" s="359" t="s">
        <v>561</v>
      </c>
    </row>
    <row r="40" spans="2:20" x14ac:dyDescent="0.35">
      <c r="B40" s="10">
        <v>2026</v>
      </c>
      <c r="C40" s="7">
        <f>RefTables!C34/1000+(RefTables!$F$49*RefTables!$F$57/RefTables!E34)*10^-6</f>
        <v>287.19122977041189</v>
      </c>
      <c r="D40" s="111">
        <f>-Inputs_SupplyCurve!X40*10^-6</f>
        <v>-50.005211154476285</v>
      </c>
      <c r="E40" s="111">
        <f>-(Inputs_SupplyCurve!Y40+Inputs_SupplyCurve!Z40)*10^-6-RefTables!C295</f>
        <v>-28.891119835443767</v>
      </c>
      <c r="F40" s="343">
        <f>Inputs_AnnualElectric!X27*10^-6+UPDATES!U21</f>
        <v>182.19851279999997</v>
      </c>
      <c r="G40" s="346">
        <f t="shared" si="5"/>
        <v>0</v>
      </c>
      <c r="H40" s="279">
        <f t="shared" si="6"/>
        <v>390.49341158049185</v>
      </c>
      <c r="I40" s="77"/>
      <c r="J40" s="10">
        <v>2026</v>
      </c>
      <c r="K40" s="7">
        <f>C40*RefTables!$O150</f>
        <v>15.1445745280541</v>
      </c>
      <c r="L40" s="4">
        <f>D40*RefTables!$O150</f>
        <v>-2.6369455910107686</v>
      </c>
      <c r="M40" s="4">
        <f>E40*RefTables!$O150</f>
        <v>-1.5235274346525276</v>
      </c>
      <c r="N40" s="343">
        <f>Inputs_AnnualElectric!Y27*10^-6+UPDATES!Q21</f>
        <v>7.184470600052367</v>
      </c>
      <c r="O40" s="346">
        <f>O19*RefTables!I176/1000</f>
        <v>0</v>
      </c>
      <c r="P40" s="343">
        <f t="shared" si="7"/>
        <v>18.168572102443171</v>
      </c>
      <c r="Q40" s="7" t="s">
        <v>561</v>
      </c>
      <c r="R40" s="359" t="s">
        <v>561</v>
      </c>
    </row>
    <row r="41" spans="2:20" x14ac:dyDescent="0.35">
      <c r="B41" s="10">
        <v>2027</v>
      </c>
      <c r="C41" s="7">
        <f>RefTables!C35/1000+(RefTables!$F$49*RefTables!$F$57/RefTables!E35)*10^-6</f>
        <v>288.59811254722075</v>
      </c>
      <c r="D41" s="111">
        <f>-Inputs_SupplyCurve!X41*10^-6</f>
        <v>-52.068131976736652</v>
      </c>
      <c r="E41" s="111">
        <f>-(Inputs_SupplyCurve!Y41+Inputs_SupplyCurve!Z41)*10^-6-RefTables!C296</f>
        <v>-30.288758327949594</v>
      </c>
      <c r="F41" s="343">
        <f>Inputs_AnnualElectric!X28*10^-6+UPDATES!U22</f>
        <v>176.20338709999999</v>
      </c>
      <c r="G41" s="346">
        <f t="shared" si="5"/>
        <v>0</v>
      </c>
      <c r="H41" s="279">
        <f t="shared" si="6"/>
        <v>382.44460934253448</v>
      </c>
      <c r="I41" s="77"/>
      <c r="J41" s="10">
        <v>2027</v>
      </c>
      <c r="K41" s="7">
        <f>C41*RefTables!$O151</f>
        <v>15.228800504361317</v>
      </c>
      <c r="L41" s="4">
        <f>D41*RefTables!$O151</f>
        <v>-2.7475411654978781</v>
      </c>
      <c r="M41" s="4">
        <f>E41*RefTables!$O151</f>
        <v>-1.5982830034125213</v>
      </c>
      <c r="N41" s="343">
        <f>Inputs_AnnualElectric!Y28*10^-6+UPDATES!Q22</f>
        <v>6.5672898906022024</v>
      </c>
      <c r="O41" s="346">
        <f>O20*RefTables!I177/1000</f>
        <v>0</v>
      </c>
      <c r="P41" s="343">
        <f t="shared" si="7"/>
        <v>17.450266226053117</v>
      </c>
      <c r="Q41" s="7" t="s">
        <v>561</v>
      </c>
      <c r="R41" s="359" t="s">
        <v>561</v>
      </c>
    </row>
    <row r="42" spans="2:20" x14ac:dyDescent="0.35">
      <c r="B42" s="10">
        <v>2028</v>
      </c>
      <c r="C42" s="7">
        <f>RefTables!C36/1000+(RefTables!$F$49*RefTables!$F$57/RefTables!E36)*10^-6</f>
        <v>290.01202973791362</v>
      </c>
      <c r="D42" s="111">
        <f>-Inputs_SupplyCurve!X42*10^-6</f>
        <v>-54.172924278859867</v>
      </c>
      <c r="E42" s="111">
        <f>-(Inputs_SupplyCurve!Y42+Inputs_SupplyCurve!Z42)*10^-6-RefTables!C297</f>
        <v>-31.686396820455421</v>
      </c>
      <c r="F42" s="343">
        <f>Inputs_AnnualElectric!X29*10^-6+UPDATES!U23</f>
        <v>191.7728214</v>
      </c>
      <c r="G42" s="346">
        <f t="shared" si="5"/>
        <v>0</v>
      </c>
      <c r="H42" s="279">
        <f t="shared" si="6"/>
        <v>395.92553003859837</v>
      </c>
      <c r="I42" s="77"/>
      <c r="J42" s="10">
        <v>2028</v>
      </c>
      <c r="K42" s="7">
        <f>C42*RefTables!$O152</f>
        <v>15.322748535150183</v>
      </c>
      <c r="L42" s="4">
        <f>D42*RefTables!$O152</f>
        <v>-2.8622195323719866</v>
      </c>
      <c r="M42" s="4">
        <f>E42*RefTables!$O152</f>
        <v>-1.6741467273050423</v>
      </c>
      <c r="N42" s="343">
        <f>Inputs_AnnualElectric!Y29*10^-6+UPDATES!Q23</f>
        <v>6.1384968010797145</v>
      </c>
      <c r="O42" s="346">
        <f>O21*RefTables!I178/1000</f>
        <v>0</v>
      </c>
      <c r="P42" s="343">
        <f t="shared" si="7"/>
        <v>16.92487907655287</v>
      </c>
      <c r="Q42" s="7" t="s">
        <v>561</v>
      </c>
      <c r="R42" s="359" t="s">
        <v>561</v>
      </c>
    </row>
    <row r="43" spans="2:20" x14ac:dyDescent="0.35">
      <c r="B43" s="10">
        <v>2029</v>
      </c>
      <c r="C43" s="7">
        <f>RefTables!C37/1000+(RefTables!$F$49*RefTables!$F$57/RefTables!E37)*10^-6</f>
        <v>291.43301651455999</v>
      </c>
      <c r="D43" s="111">
        <f>-Inputs_SupplyCurve!X43*10^-6</f>
        <v>-56.02117731291635</v>
      </c>
      <c r="E43" s="111">
        <f>-(Inputs_SupplyCurve!Y43+Inputs_SupplyCurve!Z43)*10^-6-RefTables!C298</f>
        <v>-33.084035312961248</v>
      </c>
      <c r="F43" s="343">
        <f>Inputs_AnnualElectric!X30*10^-6+UPDATES!U24</f>
        <v>190.48538569999999</v>
      </c>
      <c r="G43" s="346">
        <f t="shared" si="5"/>
        <v>0</v>
      </c>
      <c r="H43" s="279">
        <f t="shared" si="6"/>
        <v>392.81318958868241</v>
      </c>
      <c r="I43" s="77"/>
      <c r="J43" s="10">
        <v>2029</v>
      </c>
      <c r="K43" s="7">
        <f>C43*RefTables!$O153</f>
        <v>15.419922484150035</v>
      </c>
      <c r="L43" s="4">
        <f>D43*RefTables!$O153</f>
        <v>-2.9641192407341301</v>
      </c>
      <c r="M43" s="4">
        <f>E43*RefTables!$O153</f>
        <v>-1.7504991921986219</v>
      </c>
      <c r="N43" s="343">
        <f>Inputs_AnnualElectric!Y30*10^-6+UPDATES!Q24</f>
        <v>5.7203161103224911</v>
      </c>
      <c r="O43" s="346">
        <f>O22*RefTables!I179/1000</f>
        <v>0</v>
      </c>
      <c r="P43" s="343">
        <f t="shared" si="7"/>
        <v>16.425620161539776</v>
      </c>
      <c r="Q43" s="7" t="s">
        <v>561</v>
      </c>
      <c r="R43" s="359" t="s">
        <v>561</v>
      </c>
    </row>
    <row r="44" spans="2:20" ht="19.5" customHeight="1" thickBot="1" x14ac:dyDescent="0.4">
      <c r="B44" s="11">
        <v>2030</v>
      </c>
      <c r="C44" s="12">
        <f>RefTables!C38/1000+(RefTables!$F$49*RefTables!$F$57/RefTables!E38)*10^-6</f>
        <v>292.86110822508959</v>
      </c>
      <c r="D44" s="112">
        <f>-Inputs_SupplyCurve!X44*10^-6</f>
        <v>-57.798160255804937</v>
      </c>
      <c r="E44" s="112">
        <f>-(Inputs_SupplyCurve!Y44+Inputs_SupplyCurve!Z44)*10^-6-RefTables!C299</f>
        <v>-34.481673805467061</v>
      </c>
      <c r="F44" s="344">
        <f>Inputs_AnnualElectric!X31*10^-6+UPDATES!U25</f>
        <v>182.30403000000001</v>
      </c>
      <c r="G44" s="347">
        <f t="shared" si="5"/>
        <v>0</v>
      </c>
      <c r="H44" s="280">
        <f t="shared" si="6"/>
        <v>382.88530416381764</v>
      </c>
      <c r="I44" s="77"/>
      <c r="J44" s="11">
        <v>2030</v>
      </c>
      <c r="K44" s="12">
        <f>C44*RefTables!$O154</f>
        <v>15.520942419121136</v>
      </c>
      <c r="L44" s="13">
        <f>D44*RefTables!$O154</f>
        <v>-3.0631650706313573</v>
      </c>
      <c r="M44" s="13">
        <f>E44*RefTables!$O154</f>
        <v>-1.8274467268567207</v>
      </c>
      <c r="N44" s="344">
        <f>Inputs_AnnualElectric!Y31*10^-6+UPDATES!Q25</f>
        <v>4.9929258099457128</v>
      </c>
      <c r="O44" s="347">
        <f>O23*RefTables!I180/1000</f>
        <v>0</v>
      </c>
      <c r="P44" s="239">
        <f t="shared" si="7"/>
        <v>15.623256431578771</v>
      </c>
      <c r="Q44" s="12">
        <f>RefTables!$G$227</f>
        <v>18.676721162166132</v>
      </c>
      <c r="R44" s="361" t="str">
        <f>IF(P44&lt;=Q44,"Yes","No")</f>
        <v>Yes</v>
      </c>
    </row>
    <row r="45" spans="2:20" ht="18" thickBot="1" x14ac:dyDescent="0.4">
      <c r="C45" s="184"/>
      <c r="D45" s="184"/>
      <c r="E45" s="184"/>
      <c r="F45" s="184"/>
      <c r="H45" s="184"/>
    </row>
    <row r="46" spans="2:20" ht="19.5" customHeight="1" x14ac:dyDescent="0.4">
      <c r="B46" s="444" t="s">
        <v>266</v>
      </c>
      <c r="C46" s="448" t="s">
        <v>438</v>
      </c>
      <c r="D46" s="449"/>
      <c r="E46" s="449"/>
      <c r="F46" s="449"/>
      <c r="G46" s="449"/>
      <c r="H46" s="449"/>
      <c r="I46" s="449"/>
      <c r="J46" s="449"/>
      <c r="K46" s="449"/>
      <c r="L46" s="450"/>
      <c r="M46" s="448" t="s">
        <v>439</v>
      </c>
      <c r="N46" s="449"/>
      <c r="O46" s="449"/>
      <c r="P46" s="450"/>
      <c r="Q46" s="442" t="s">
        <v>426</v>
      </c>
    </row>
    <row r="47" spans="2:20" ht="52.5" thickBot="1" x14ac:dyDescent="0.4">
      <c r="B47" s="445"/>
      <c r="C47" s="151" t="s">
        <v>456</v>
      </c>
      <c r="D47" s="152" t="s">
        <v>425</v>
      </c>
      <c r="E47" s="152" t="s">
        <v>424</v>
      </c>
      <c r="F47" s="152" t="s">
        <v>349</v>
      </c>
      <c r="G47" s="152" t="s">
        <v>329</v>
      </c>
      <c r="H47" s="152" t="s">
        <v>328</v>
      </c>
      <c r="I47" s="152" t="s">
        <v>267</v>
      </c>
      <c r="J47" s="152" t="s">
        <v>107</v>
      </c>
      <c r="K47" s="152" t="s">
        <v>106</v>
      </c>
      <c r="L47" s="152" t="s">
        <v>1</v>
      </c>
      <c r="M47" s="151" t="s">
        <v>20</v>
      </c>
      <c r="N47" s="152" t="s">
        <v>429</v>
      </c>
      <c r="O47" s="152" t="s">
        <v>430</v>
      </c>
      <c r="P47" s="153" t="s">
        <v>1</v>
      </c>
      <c r="Q47" s="443"/>
    </row>
    <row r="48" spans="2:20" x14ac:dyDescent="0.35">
      <c r="B48" s="9">
        <v>2015</v>
      </c>
      <c r="C48" s="286">
        <f>(C29+SUM(D29:E29))*RefTables!$G189</f>
        <v>873.07298178946098</v>
      </c>
      <c r="D48" s="283">
        <f>Inputs_SupplyCurve!H29</f>
        <v>137.59396913152196</v>
      </c>
      <c r="E48" s="283">
        <f>Inputs_SupplyCurve!K29</f>
        <v>506.56634289154363</v>
      </c>
      <c r="F48" s="283">
        <f>Inputs_SupplyCurve!L29</f>
        <v>97.003539999999987</v>
      </c>
      <c r="G48" s="283">
        <f>SUMIFS(PriceSpikes!$R$7:$R$198,PriceSpikes!$B$7:$B$198,B48)</f>
        <v>0</v>
      </c>
      <c r="H48" s="283">
        <f>BalancingMeasures!$M$15*S8*10^-6</f>
        <v>0</v>
      </c>
      <c r="I48" s="283">
        <f>Inputs_AnnualElectric!Z16+UPDATES!AC10</f>
        <v>2190.7641072519523</v>
      </c>
      <c r="J48" s="283">
        <f>T8*BalancingMeasures!$I$10*10^-6</f>
        <v>1.008</v>
      </c>
      <c r="K48" s="283">
        <f>U8*BalancingMeasures!$J$9/1000</f>
        <v>10.752000000000001</v>
      </c>
      <c r="L48" s="283">
        <f t="shared" ref="L48:L63" si="8">SUM(C48:K48)</f>
        <v>3816.7609410644786</v>
      </c>
      <c r="M48" s="286">
        <f>Inputs_SupplyCurve!I29</f>
        <v>0</v>
      </c>
      <c r="N48" s="283">
        <f>Inputs_SupplyCurve!J29+UPDATES!Y10</f>
        <v>2.4828138586706974</v>
      </c>
      <c r="O48" s="283"/>
      <c r="P48" s="18">
        <f>SUM(M48:O48)</f>
        <v>2.4828138586706974</v>
      </c>
      <c r="Q48" s="289">
        <f>L48-S1_BaseRefNGNoHydro!L48+P48</f>
        <v>11.287427640083779</v>
      </c>
      <c r="R48" s="83"/>
    </row>
    <row r="49" spans="2:18" x14ac:dyDescent="0.35">
      <c r="B49" s="10">
        <v>2016</v>
      </c>
      <c r="C49" s="287">
        <f>(C30+SUM(D30:E30))*RefTables!$G190</f>
        <v>961.89434932086203</v>
      </c>
      <c r="D49" s="284">
        <f>Inputs_SupplyCurve!H30</f>
        <v>178.98250934786873</v>
      </c>
      <c r="E49" s="284">
        <f>Inputs_SupplyCurve!K30</f>
        <v>579.70239486493267</v>
      </c>
      <c r="F49" s="284">
        <f>Inputs_SupplyCurve!L30</f>
        <v>0</v>
      </c>
      <c r="G49" s="284">
        <f>SUMIFS(PriceSpikes!$R$7:$R$198,PriceSpikes!$B$7:$B$198,B49)</f>
        <v>-4.3963514292003888E-2</v>
      </c>
      <c r="H49" s="284">
        <f>BalancingMeasures!$M$15*S9*10^-6</f>
        <v>0</v>
      </c>
      <c r="I49" s="284">
        <f>Inputs_AnnualElectric!Z17+UPDATES!AC11</f>
        <v>2280.9045265071991</v>
      </c>
      <c r="J49" s="284">
        <f>T9*BalancingMeasures!$I$10*10^-6</f>
        <v>0</v>
      </c>
      <c r="K49" s="284">
        <f>U9*BalancingMeasures!$J$9/1000</f>
        <v>0</v>
      </c>
      <c r="L49" s="284">
        <f t="shared" si="8"/>
        <v>4001.4398165265707</v>
      </c>
      <c r="M49" s="287">
        <f>Inputs_SupplyCurve!I30</f>
        <v>0</v>
      </c>
      <c r="N49" s="284">
        <f>Inputs_SupplyCurve!J30+UPDATES!Y11</f>
        <v>19.440332253718864</v>
      </c>
      <c r="O49" s="284"/>
      <c r="P49" s="19">
        <f t="shared" ref="P49:P63" si="9">SUM(M49:O49)</f>
        <v>19.440332253718864</v>
      </c>
      <c r="Q49" s="290">
        <f>L49-S1_BaseRefNGNoHydro!L49+P49</f>
        <v>14.016703480209983</v>
      </c>
      <c r="R49" s="83"/>
    </row>
    <row r="50" spans="2:18" x14ac:dyDescent="0.35">
      <c r="B50" s="10">
        <v>2017</v>
      </c>
      <c r="C50" s="287">
        <f>(C31+SUM(D31:E31))*RefTables!$G191</f>
        <v>1008.9049223116206</v>
      </c>
      <c r="D50" s="284">
        <f>Inputs_SupplyCurve!H31</f>
        <v>214.12493968163085</v>
      </c>
      <c r="E50" s="284">
        <f>Inputs_SupplyCurve!K31</f>
        <v>650.65893492244231</v>
      </c>
      <c r="F50" s="284">
        <f>Inputs_SupplyCurve!L31</f>
        <v>0</v>
      </c>
      <c r="G50" s="284">
        <f>SUMIFS(PriceSpikes!$R$7:$R$198,PriceSpikes!$B$7:$B$198,B50)</f>
        <v>0</v>
      </c>
      <c r="H50" s="284">
        <f>BalancingMeasures!$M$15*S10*10^-6</f>
        <v>0</v>
      </c>
      <c r="I50" s="284">
        <f>Inputs_AnnualElectric!Z18+UPDATES!AC12</f>
        <v>2245.8762730618032</v>
      </c>
      <c r="J50" s="284">
        <f>T10*BalancingMeasures!$I$10*10^-6</f>
        <v>0</v>
      </c>
      <c r="K50" s="284">
        <f>U10*BalancingMeasures!$J$9/1000</f>
        <v>0</v>
      </c>
      <c r="L50" s="284">
        <f t="shared" si="8"/>
        <v>4119.5650699774969</v>
      </c>
      <c r="M50" s="287">
        <f>Inputs_SupplyCurve!I31</f>
        <v>0</v>
      </c>
      <c r="N50" s="284">
        <f>Inputs_SupplyCurve!J31+UPDATES!Y12</f>
        <v>30.163855179482493</v>
      </c>
      <c r="O50" s="284"/>
      <c r="P50" s="19">
        <f t="shared" si="9"/>
        <v>30.163855179482493</v>
      </c>
      <c r="Q50" s="290">
        <f>L50-S1_BaseRefNGNoHydro!L50+P50</f>
        <v>63.853849066258434</v>
      </c>
      <c r="R50" s="83"/>
    </row>
    <row r="51" spans="2:18" x14ac:dyDescent="0.35">
      <c r="B51" s="10">
        <v>2018</v>
      </c>
      <c r="C51" s="287">
        <f>(C32+SUM(D32:E32))*RefTables!$G192</f>
        <v>1092.3763128597823</v>
      </c>
      <c r="D51" s="284">
        <f>Inputs_SupplyCurve!H32</f>
        <v>245.70120814380834</v>
      </c>
      <c r="E51" s="284">
        <f>Inputs_SupplyCurve!K32</f>
        <v>714.18419669052332</v>
      </c>
      <c r="F51" s="284">
        <f>Inputs_SupplyCurve!L32</f>
        <v>0</v>
      </c>
      <c r="G51" s="284">
        <f>SUMIFS(PriceSpikes!$R$7:$R$198,PriceSpikes!$B$7:$B$198,B51)</f>
        <v>0</v>
      </c>
      <c r="H51" s="284">
        <f>BalancingMeasures!$M$15*S11*10^-6</f>
        <v>0</v>
      </c>
      <c r="I51" s="284">
        <f>Inputs_AnnualElectric!Z19+UPDATES!AC13</f>
        <v>2120.373652165963</v>
      </c>
      <c r="J51" s="284">
        <f>T11*BalancingMeasures!$I$10*10^-6</f>
        <v>0</v>
      </c>
      <c r="K51" s="284">
        <f>U11*BalancingMeasures!$J$9/1000</f>
        <v>0</v>
      </c>
      <c r="L51" s="284">
        <f t="shared" si="8"/>
        <v>4172.6353698600769</v>
      </c>
      <c r="M51" s="287">
        <f>Inputs_SupplyCurve!I32</f>
        <v>0</v>
      </c>
      <c r="N51" s="284">
        <f>Inputs_SupplyCurve!J32+UPDATES!Y13</f>
        <v>40.968270737034089</v>
      </c>
      <c r="O51" s="284">
        <f>RefTables!$F$261</f>
        <v>128.79556296307061</v>
      </c>
      <c r="P51" s="19">
        <f t="shared" si="9"/>
        <v>169.7638337001047</v>
      </c>
      <c r="Q51" s="290">
        <f>L51-S1_BaseRefNGNoHydro!L51+P51</f>
        <v>41.752493393755032</v>
      </c>
      <c r="R51" s="83"/>
    </row>
    <row r="52" spans="2:18" x14ac:dyDescent="0.35">
      <c r="B52" s="10">
        <v>2019</v>
      </c>
      <c r="C52" s="287">
        <f>(C33+SUM(D33:E33))*RefTables!$G193</f>
        <v>1053.8155662612039</v>
      </c>
      <c r="D52" s="284">
        <f>Inputs_SupplyCurve!H33</f>
        <v>276.60939981847474</v>
      </c>
      <c r="E52" s="284">
        <f>Inputs_SupplyCurve!K33</f>
        <v>769.66986592833086</v>
      </c>
      <c r="F52" s="284">
        <f>Inputs_SupplyCurve!L33</f>
        <v>0</v>
      </c>
      <c r="G52" s="284">
        <f>SUMIFS(PriceSpikes!$R$7:$R$198,PriceSpikes!$B$7:$B$198,B52)</f>
        <v>0</v>
      </c>
      <c r="H52" s="284">
        <f>BalancingMeasures!$M$15*S12*10^-6</f>
        <v>0</v>
      </c>
      <c r="I52" s="284">
        <f>Inputs_AnnualElectric!Z20+UPDATES!AC14</f>
        <v>2068.0747106844615</v>
      </c>
      <c r="J52" s="284">
        <f>T12*BalancingMeasures!$I$10*10^-6</f>
        <v>0</v>
      </c>
      <c r="K52" s="284">
        <f>U12*BalancingMeasures!$J$9/1000</f>
        <v>0</v>
      </c>
      <c r="L52" s="284">
        <f t="shared" si="8"/>
        <v>4168.1695426924707</v>
      </c>
      <c r="M52" s="287">
        <f>Inputs_SupplyCurve!I33</f>
        <v>0</v>
      </c>
      <c r="N52" s="284">
        <f>Inputs_SupplyCurve!J33+UPDATES!Y14</f>
        <v>51.853578926373672</v>
      </c>
      <c r="O52" s="284">
        <f>RefTables!$F$261</f>
        <v>128.79556296307061</v>
      </c>
      <c r="P52" s="19">
        <f t="shared" si="9"/>
        <v>180.64914188944428</v>
      </c>
      <c r="Q52" s="290">
        <f>L52-S1_BaseRefNGNoHydro!L52+P52</f>
        <v>39.498243944281484</v>
      </c>
      <c r="R52" s="83"/>
    </row>
    <row r="53" spans="2:18" x14ac:dyDescent="0.35">
      <c r="B53" s="10">
        <v>2020</v>
      </c>
      <c r="C53" s="287">
        <f>(C34+SUM(D34:E34))*RefTables!$G194</f>
        <v>976.05704996084205</v>
      </c>
      <c r="D53" s="284">
        <f>Inputs_SupplyCurve!H34</f>
        <v>308.41130228773204</v>
      </c>
      <c r="E53" s="284">
        <f>Inputs_SupplyCurve!K34</f>
        <v>820.86807454247037</v>
      </c>
      <c r="F53" s="284">
        <f>Inputs_SupplyCurve!L34</f>
        <v>0</v>
      </c>
      <c r="G53" s="284">
        <f>SUMIFS(PriceSpikes!$R$7:$R$198,PriceSpikes!$B$7:$B$198,B53)</f>
        <v>-3478.935003734111</v>
      </c>
      <c r="H53" s="284">
        <f>BalancingMeasures!$M$15*S13*10^-6</f>
        <v>29.814335108544022</v>
      </c>
      <c r="I53" s="284">
        <f>Inputs_AnnualElectric!Z21+UPDATES!AC15</f>
        <v>1872.811008686856</v>
      </c>
      <c r="J53" s="284">
        <f>T13*BalancingMeasures!$I$10*10^-6</f>
        <v>0</v>
      </c>
      <c r="K53" s="284">
        <f>U13*BalancingMeasures!$J$9/1000</f>
        <v>0</v>
      </c>
      <c r="L53" s="284">
        <f t="shared" si="8"/>
        <v>529.02676685233382</v>
      </c>
      <c r="M53" s="287">
        <f>Inputs_SupplyCurve!I34</f>
        <v>0</v>
      </c>
      <c r="N53" s="284">
        <f>Inputs_SupplyCurve!J34+UPDATES!Y15</f>
        <v>62.819779747501215</v>
      </c>
      <c r="O53" s="284">
        <f>RefTables!$F$261</f>
        <v>128.79556296307061</v>
      </c>
      <c r="P53" s="19">
        <f t="shared" si="9"/>
        <v>191.61534271057184</v>
      </c>
      <c r="Q53" s="290">
        <f>L53-S1_BaseRefNGNoHydro!L53+P53</f>
        <v>50.976482524792971</v>
      </c>
      <c r="R53" s="83"/>
    </row>
    <row r="54" spans="2:18" x14ac:dyDescent="0.35">
      <c r="B54" s="10">
        <v>2021</v>
      </c>
      <c r="C54" s="287">
        <f>(C35+SUM(D35:E35))*RefTables!$G195</f>
        <v>1022.0887357885675</v>
      </c>
      <c r="D54" s="284">
        <f>Inputs_SupplyCurve!H35</f>
        <v>334.92457133374</v>
      </c>
      <c r="E54" s="284">
        <f>Inputs_SupplyCurve!K35</f>
        <v>869.07403191821254</v>
      </c>
      <c r="F54" s="284">
        <f>Inputs_SupplyCurve!L35</f>
        <v>0</v>
      </c>
      <c r="G54" s="284">
        <f>SUMIFS(PriceSpikes!$R$7:$R$198,PriceSpikes!$B$7:$B$198,B54)</f>
        <v>-3430.4046115732012</v>
      </c>
      <c r="H54" s="284">
        <f>BalancingMeasures!$M$15*S14*10^-6</f>
        <v>29.814335108544022</v>
      </c>
      <c r="I54" s="284">
        <f>Inputs_AnnualElectric!Z22+UPDATES!AC16</f>
        <v>1828.9718700593412</v>
      </c>
      <c r="J54" s="284">
        <f>T14*BalancingMeasures!$I$10*10^-6</f>
        <v>0</v>
      </c>
      <c r="K54" s="284">
        <f>U14*BalancingMeasures!$J$9/1000</f>
        <v>0</v>
      </c>
      <c r="L54" s="284">
        <f t="shared" si="8"/>
        <v>654.46893263520451</v>
      </c>
      <c r="M54" s="287">
        <f>Inputs_SupplyCurve!I35</f>
        <v>0</v>
      </c>
      <c r="N54" s="284">
        <f>Inputs_SupplyCurve!J35+UPDATES!Y16</f>
        <v>143.47958665184211</v>
      </c>
      <c r="O54" s="284">
        <f>RefTables!$F$261</f>
        <v>128.79556296307061</v>
      </c>
      <c r="P54" s="19">
        <f t="shared" si="9"/>
        <v>272.27514961491272</v>
      </c>
      <c r="Q54" s="290">
        <f>L54-S1_BaseRefNGNoHydro!L54+P54</f>
        <v>67.187603635943674</v>
      </c>
      <c r="R54" s="83"/>
    </row>
    <row r="55" spans="2:18" x14ac:dyDescent="0.35">
      <c r="B55" s="10">
        <v>2022</v>
      </c>
      <c r="C55" s="287">
        <f>(C36+SUM(D36:E36))*RefTables!$G196</f>
        <v>1041.2588311137442</v>
      </c>
      <c r="D55" s="284">
        <f>Inputs_SupplyCurve!H36</f>
        <v>358.56506012801765</v>
      </c>
      <c r="E55" s="284">
        <f>Inputs_SupplyCurve!K36</f>
        <v>914.59782634165924</v>
      </c>
      <c r="F55" s="284">
        <f>Inputs_SupplyCurve!L36</f>
        <v>0</v>
      </c>
      <c r="G55" s="284">
        <f>SUMIFS(PriceSpikes!$R$7:$R$198,PriceSpikes!$B$7:$B$198,B55)</f>
        <v>-3320.5341820563826</v>
      </c>
      <c r="H55" s="284">
        <f>BalancingMeasures!$M$15*S15*10^-6</f>
        <v>29.814335108544022</v>
      </c>
      <c r="I55" s="284">
        <f>Inputs_AnnualElectric!Z23+UPDATES!AC17</f>
        <v>1746.584427636765</v>
      </c>
      <c r="J55" s="284">
        <f>T15*BalancingMeasures!$I$10*10^-6</f>
        <v>0</v>
      </c>
      <c r="K55" s="284">
        <f>U15*BalancingMeasures!$J$9/1000</f>
        <v>0</v>
      </c>
      <c r="L55" s="284">
        <f t="shared" si="8"/>
        <v>770.28629827234738</v>
      </c>
      <c r="M55" s="287">
        <f>Inputs_SupplyCurve!I36</f>
        <v>0</v>
      </c>
      <c r="N55" s="284">
        <f>Inputs_SupplyCurve!J36+UPDATES!Y17</f>
        <v>223.61799937205052</v>
      </c>
      <c r="O55" s="284">
        <f>RefTables!$F$261+RefTables!$F$262</f>
        <v>317.69572197557414</v>
      </c>
      <c r="P55" s="19">
        <f t="shared" si="9"/>
        <v>541.31372134762466</v>
      </c>
      <c r="Q55" s="290">
        <f>L55-S1_BaseRefNGNoHydro!L55+P55</f>
        <v>193.66478198801497</v>
      </c>
      <c r="R55" s="83"/>
    </row>
    <row r="56" spans="2:18" x14ac:dyDescent="0.35">
      <c r="B56" s="10">
        <v>2023</v>
      </c>
      <c r="C56" s="287">
        <f>(C37+SUM(D37:E37))*RefTables!$G197</f>
        <v>1059.0969979600868</v>
      </c>
      <c r="D56" s="284">
        <f>Inputs_SupplyCurve!H37</f>
        <v>376.06410531864424</v>
      </c>
      <c r="E56" s="284">
        <f>Inputs_SupplyCurve!K37</f>
        <v>957.31887247311624</v>
      </c>
      <c r="F56" s="284">
        <f>Inputs_SupplyCurve!L37</f>
        <v>0</v>
      </c>
      <c r="G56" s="284">
        <f>SUMIFS(PriceSpikes!$R$7:$R$198,PriceSpikes!$B$7:$B$198,B56)</f>
        <v>-3326.6961369673627</v>
      </c>
      <c r="H56" s="284">
        <f>BalancingMeasures!$M$15*S16*10^-6</f>
        <v>29.814335108544022</v>
      </c>
      <c r="I56" s="284">
        <f>Inputs_AnnualElectric!Z24+UPDATES!AC18</f>
        <v>1755.5814787471395</v>
      </c>
      <c r="J56" s="284">
        <f>T16*BalancingMeasures!$I$10*10^-6</f>
        <v>0</v>
      </c>
      <c r="K56" s="284">
        <f>U16*BalancingMeasures!$J$9/1000</f>
        <v>0</v>
      </c>
      <c r="L56" s="284">
        <f t="shared" si="8"/>
        <v>851.179652640168</v>
      </c>
      <c r="M56" s="287">
        <f>Inputs_SupplyCurve!I37</f>
        <v>0</v>
      </c>
      <c r="N56" s="284">
        <f>Inputs_SupplyCurve!J37+UPDATES!Y18</f>
        <v>303.23501790812634</v>
      </c>
      <c r="O56" s="284">
        <f>RefTables!$F$261+RefTables!$F$262</f>
        <v>317.69572197557414</v>
      </c>
      <c r="P56" s="19">
        <f t="shared" si="9"/>
        <v>620.93073988370043</v>
      </c>
      <c r="Q56" s="290">
        <f>L56-S1_BaseRefNGNoHydro!L56+P56</f>
        <v>215.24076862277241</v>
      </c>
      <c r="R56" s="83"/>
    </row>
    <row r="57" spans="2:18" x14ac:dyDescent="0.35">
      <c r="B57" s="10">
        <v>2024</v>
      </c>
      <c r="C57" s="287">
        <f>(C38+SUM(D38:E38))*RefTables!$G198</f>
        <v>1084.88012795481</v>
      </c>
      <c r="D57" s="284">
        <f>Inputs_SupplyCurve!H38</f>
        <v>396.43120882909466</v>
      </c>
      <c r="E57" s="284">
        <f>Inputs_SupplyCurve!K38</f>
        <v>996.46776975883404</v>
      </c>
      <c r="F57" s="284">
        <f>Inputs_SupplyCurve!L38</f>
        <v>0</v>
      </c>
      <c r="G57" s="284">
        <f>SUMIFS(PriceSpikes!$R$7:$R$198,PriceSpikes!$B$7:$B$198,B57)</f>
        <v>-3481.1248105583081</v>
      </c>
      <c r="H57" s="284">
        <f>BalancingMeasures!$M$15*S17*10^-6</f>
        <v>29.814335108544022</v>
      </c>
      <c r="I57" s="284">
        <f>Inputs_AnnualElectric!Z25+UPDATES!AC19</f>
        <v>1721.1513323679496</v>
      </c>
      <c r="J57" s="284">
        <f>T17*BalancingMeasures!$I$10*10^-6</f>
        <v>0</v>
      </c>
      <c r="K57" s="284">
        <f>U17*BalancingMeasures!$J$9/1000</f>
        <v>0</v>
      </c>
      <c r="L57" s="284">
        <f t="shared" si="8"/>
        <v>747.61996346092417</v>
      </c>
      <c r="M57" s="287">
        <f>Inputs_SupplyCurve!I38</f>
        <v>0</v>
      </c>
      <c r="N57" s="284">
        <f>Inputs_SupplyCurve!J38+UPDATES!Y19</f>
        <v>382.33064226006968</v>
      </c>
      <c r="O57" s="284">
        <f>RefTables!$F$261+RefTables!$F$262</f>
        <v>317.69572197557414</v>
      </c>
      <c r="P57" s="19">
        <f t="shared" si="9"/>
        <v>700.02636423564377</v>
      </c>
      <c r="Q57" s="290">
        <f>L57-S1_BaseRefNGNoHydro!L57+P57</f>
        <v>228.30448102890034</v>
      </c>
      <c r="R57" s="83"/>
    </row>
    <row r="58" spans="2:18" x14ac:dyDescent="0.35">
      <c r="B58" s="10">
        <v>2025</v>
      </c>
      <c r="C58" s="287">
        <f>(C39+SUM(D39:E39))*RefTables!$G199</f>
        <v>1092.0728143001083</v>
      </c>
      <c r="D58" s="284">
        <f>Inputs_SupplyCurve!H39</f>
        <v>416.29833553275068</v>
      </c>
      <c r="E58" s="284">
        <f>Inputs_SupplyCurve!K39</f>
        <v>1031.4920261822479</v>
      </c>
      <c r="F58" s="284">
        <f>Inputs_SupplyCurve!L39</f>
        <v>97.003539999999987</v>
      </c>
      <c r="G58" s="284">
        <f>SUMIFS(PriceSpikes!$R$7:$R$198,PriceSpikes!$B$7:$B$198,B58)</f>
        <v>-3440.0273792678959</v>
      </c>
      <c r="H58" s="284">
        <f>BalancingMeasures!$M$15*S18*10^-6</f>
        <v>29.814335108544022</v>
      </c>
      <c r="I58" s="284">
        <f>Inputs_AnnualElectric!Z26+UPDATES!AC20</f>
        <v>1703.1697954379151</v>
      </c>
      <c r="J58" s="284">
        <f>T18*BalancingMeasures!$I$10*10^-6</f>
        <v>0</v>
      </c>
      <c r="K58" s="284">
        <f>U18*BalancingMeasures!$J$9/1000</f>
        <v>0</v>
      </c>
      <c r="L58" s="284">
        <f t="shared" si="8"/>
        <v>929.82346729366998</v>
      </c>
      <c r="M58" s="287">
        <f>Inputs_SupplyCurve!I39</f>
        <v>0</v>
      </c>
      <c r="N58" s="284">
        <f>Inputs_SupplyCurve!J39+UPDATES!Y20</f>
        <v>460.90487242788049</v>
      </c>
      <c r="O58" s="284">
        <f>RefTables!$F$261+RefTables!$F$262</f>
        <v>317.69572197557414</v>
      </c>
      <c r="P58" s="19">
        <f t="shared" si="9"/>
        <v>778.60059440345458</v>
      </c>
      <c r="Q58" s="290">
        <f>L58-S1_BaseRefNGNoHydro!L58+P58</f>
        <v>237.14790678365841</v>
      </c>
      <c r="R58" s="83"/>
    </row>
    <row r="59" spans="2:18" x14ac:dyDescent="0.35">
      <c r="B59" s="10">
        <v>2026</v>
      </c>
      <c r="C59" s="287">
        <f>(C40+SUM(D40:E40))*RefTables!$G200</f>
        <v>1105.9780422909755</v>
      </c>
      <c r="D59" s="284">
        <f>Inputs_SupplyCurve!H40</f>
        <v>435.39608562997785</v>
      </c>
      <c r="E59" s="284">
        <f>Inputs_SupplyCurve!K40</f>
        <v>1063.9776628284449</v>
      </c>
      <c r="F59" s="284">
        <f>Inputs_SupplyCurve!L40</f>
        <v>0</v>
      </c>
      <c r="G59" s="284">
        <f>SUMIFS(PriceSpikes!$R$7:$R$198,PriceSpikes!$B$7:$B$198,B59)</f>
        <v>-3459.7462355513067</v>
      </c>
      <c r="H59" s="284">
        <f>BalancingMeasures!$M$15*S19*10^-6</f>
        <v>29.814335108544022</v>
      </c>
      <c r="I59" s="284">
        <f>Inputs_AnnualElectric!Z27+UPDATES!AC21</f>
        <v>1707.0493838815999</v>
      </c>
      <c r="J59" s="284">
        <f>T19*BalancingMeasures!$I$10*10^-6</f>
        <v>0</v>
      </c>
      <c r="K59" s="284">
        <f>U19*BalancingMeasures!$J$9/1000</f>
        <v>0</v>
      </c>
      <c r="L59" s="284">
        <f t="shared" si="8"/>
        <v>882.46927418823554</v>
      </c>
      <c r="M59" s="287">
        <f>Inputs_SupplyCurve!I40</f>
        <v>0</v>
      </c>
      <c r="N59" s="284">
        <f>Inputs_SupplyCurve!J40+UPDATES!Y21</f>
        <v>538.95770841155877</v>
      </c>
      <c r="O59" s="284">
        <f>RefTables!$F$261+RefTables!$F$262</f>
        <v>317.69572197557414</v>
      </c>
      <c r="P59" s="19">
        <f t="shared" si="9"/>
        <v>856.65343038713286</v>
      </c>
      <c r="Q59" s="290">
        <f>L59-S1_BaseRefNGNoHydro!L59+P59</f>
        <v>254.38459639021119</v>
      </c>
      <c r="R59" s="83"/>
    </row>
    <row r="60" spans="2:18" x14ac:dyDescent="0.35">
      <c r="B60" s="10">
        <v>2027</v>
      </c>
      <c r="C60" s="287">
        <f>(C41+SUM(D41:E41))*RefTables!$G201</f>
        <v>1120.9489485782137</v>
      </c>
      <c r="D60" s="284">
        <f>Inputs_SupplyCurve!H41</f>
        <v>453.92400148253785</v>
      </c>
      <c r="E60" s="284">
        <f>Inputs_SupplyCurve!K41</f>
        <v>1095.6589563061075</v>
      </c>
      <c r="F60" s="284">
        <f>Inputs_SupplyCurve!L41</f>
        <v>0</v>
      </c>
      <c r="G60" s="284">
        <f>SUMIFS(PriceSpikes!$R$7:$R$198,PriceSpikes!$B$7:$B$198,B60)</f>
        <v>-3477.4368437049698</v>
      </c>
      <c r="H60" s="284">
        <f>BalancingMeasures!$M$15*S20*10^-6</f>
        <v>29.814335108544022</v>
      </c>
      <c r="I60" s="284">
        <f>Inputs_AnnualElectric!Z28+UPDATES!AC22</f>
        <v>1688.7440996560215</v>
      </c>
      <c r="J60" s="284">
        <f>T20*BalancingMeasures!$I$10*10^-6</f>
        <v>0</v>
      </c>
      <c r="K60" s="284">
        <f>U20*BalancingMeasures!$J$9/1000</f>
        <v>0</v>
      </c>
      <c r="L60" s="284">
        <f t="shared" si="8"/>
        <v>911.65349742645469</v>
      </c>
      <c r="M60" s="287">
        <f>Inputs_SupplyCurve!I41</f>
        <v>0</v>
      </c>
      <c r="N60" s="284">
        <f>Inputs_SupplyCurve!J41+UPDATES!Y22</f>
        <v>616.48915021110452</v>
      </c>
      <c r="O60" s="284">
        <f>RefTables!$F$261+RefTables!$F$262</f>
        <v>317.69572197557414</v>
      </c>
      <c r="P60" s="19">
        <f t="shared" si="9"/>
        <v>934.1848721866786</v>
      </c>
      <c r="Q60" s="290">
        <f>L60-S1_BaseRefNGNoHydro!L60+P60</f>
        <v>267.68900089888859</v>
      </c>
      <c r="R60" s="83"/>
    </row>
    <row r="61" spans="2:18" x14ac:dyDescent="0.35">
      <c r="B61" s="10">
        <v>2028</v>
      </c>
      <c r="C61" s="287">
        <f>(C42+SUM(D42:E42))*RefTables!$G202</f>
        <v>1135.707744932002</v>
      </c>
      <c r="D61" s="284">
        <f>Inputs_SupplyCurve!H42</f>
        <v>471.72277130741145</v>
      </c>
      <c r="E61" s="284">
        <f>Inputs_SupplyCurve!K42</f>
        <v>1120.7748389329322</v>
      </c>
      <c r="F61" s="284">
        <f>Inputs_SupplyCurve!L42</f>
        <v>0</v>
      </c>
      <c r="G61" s="284">
        <f>SUMIFS(PriceSpikes!$R$7:$R$198,PriceSpikes!$B$7:$B$198,B61)</f>
        <v>-3578.5774524857043</v>
      </c>
      <c r="H61" s="284">
        <f>BalancingMeasures!$M$15*S21*10^-6</f>
        <v>29.814335108544022</v>
      </c>
      <c r="I61" s="284">
        <f>Inputs_AnnualElectric!Z29+UPDATES!AC23</f>
        <v>1708.9526079984785</v>
      </c>
      <c r="J61" s="284">
        <f>T21*BalancingMeasures!$I$10*10^-6</f>
        <v>0</v>
      </c>
      <c r="K61" s="284">
        <f>U21*BalancingMeasures!$J$9/1000</f>
        <v>0</v>
      </c>
      <c r="L61" s="284">
        <f t="shared" si="8"/>
        <v>888.39484579366388</v>
      </c>
      <c r="M61" s="287">
        <f>Inputs_SupplyCurve!I42</f>
        <v>0</v>
      </c>
      <c r="N61" s="284">
        <f>Inputs_SupplyCurve!J42+UPDATES!Y23</f>
        <v>693.49919782651773</v>
      </c>
      <c r="O61" s="284">
        <f>RefTables!$F$261+RefTables!$F$262</f>
        <v>317.69572197557414</v>
      </c>
      <c r="P61" s="19">
        <f t="shared" si="9"/>
        <v>1011.1949198020918</v>
      </c>
      <c r="Q61" s="290">
        <f>L61-S1_BaseRefNGNoHydro!L61+P61</f>
        <v>269.17826829386524</v>
      </c>
      <c r="R61" s="83"/>
    </row>
    <row r="62" spans="2:18" x14ac:dyDescent="0.35">
      <c r="B62" s="10">
        <v>2029</v>
      </c>
      <c r="C62" s="287">
        <f>(C43+SUM(D43:E43))*RefTables!$G203</f>
        <v>1157.5487452008426</v>
      </c>
      <c r="D62" s="284">
        <f>Inputs_SupplyCurve!H43</f>
        <v>488.97832583960559</v>
      </c>
      <c r="E62" s="284">
        <f>Inputs_SupplyCurve!K43</f>
        <v>1145.8391388744885</v>
      </c>
      <c r="F62" s="284">
        <f>Inputs_SupplyCurve!L43</f>
        <v>0</v>
      </c>
      <c r="G62" s="284">
        <f>SUMIFS(PriceSpikes!$R$7:$R$198,PriceSpikes!$B$7:$B$198,B62)</f>
        <v>-3597.4172412566404</v>
      </c>
      <c r="H62" s="284">
        <f>BalancingMeasures!$M$15*S22*10^-6</f>
        <v>29.814335108544022</v>
      </c>
      <c r="I62" s="284">
        <f>Inputs_AnnualElectric!Z30+UPDATES!AC24</f>
        <v>1735.8736204072343</v>
      </c>
      <c r="J62" s="284">
        <f>T22*BalancingMeasures!$I$10*10^-6</f>
        <v>0</v>
      </c>
      <c r="K62" s="284">
        <f>U22*BalancingMeasures!$J$9/1000</f>
        <v>0</v>
      </c>
      <c r="L62" s="284">
        <f t="shared" si="8"/>
        <v>960.63692417407481</v>
      </c>
      <c r="M62" s="287">
        <f>Inputs_SupplyCurve!I43</f>
        <v>0</v>
      </c>
      <c r="N62" s="284">
        <f>Inputs_SupplyCurve!J43+UPDATES!Y24</f>
        <v>769.98785125779841</v>
      </c>
      <c r="O62" s="284">
        <f>RefTables!$F$261+RefTables!$F$262</f>
        <v>317.69572197557414</v>
      </c>
      <c r="P62" s="19">
        <f t="shared" si="9"/>
        <v>1087.6835732333725</v>
      </c>
      <c r="Q62" s="290">
        <f>L62-S1_BaseRefNGNoHydro!L62+P62</f>
        <v>268.44891873250469</v>
      </c>
      <c r="R62" s="83"/>
    </row>
    <row r="63" spans="2:18" ht="18" thickBot="1" x14ac:dyDescent="0.4">
      <c r="B63" s="11">
        <v>2030</v>
      </c>
      <c r="C63" s="288">
        <f>(C44+SUM(D44:E44))*RefTables!$G204</f>
        <v>1198.9233995607799</v>
      </c>
      <c r="D63" s="285">
        <f>Inputs_SupplyCurve!H44</f>
        <v>505.70253232383402</v>
      </c>
      <c r="E63" s="285">
        <f>Inputs_SupplyCurve!K44</f>
        <v>1171.828130607023</v>
      </c>
      <c r="F63" s="285">
        <f>Inputs_SupplyCurve!L44</f>
        <v>0</v>
      </c>
      <c r="G63" s="285">
        <f>SUMIFS(PriceSpikes!$R$7:$R$198,PriceSpikes!$B$7:$B$198,B63)</f>
        <v>-3574.708828957886</v>
      </c>
      <c r="H63" s="285">
        <f>BalancingMeasures!$M$15*S23*10^-6</f>
        <v>29.814335108544022</v>
      </c>
      <c r="I63" s="285">
        <f>Inputs_AnnualElectric!Z31+UPDATES!AC25</f>
        <v>1716.9719934112136</v>
      </c>
      <c r="J63" s="285">
        <f>T23*BalancingMeasures!$I$10*10^-6</f>
        <v>0</v>
      </c>
      <c r="K63" s="285">
        <f>U23*BalancingMeasures!$J$9/1000</f>
        <v>0</v>
      </c>
      <c r="L63" s="285">
        <f t="shared" si="8"/>
        <v>1048.5315620535089</v>
      </c>
      <c r="M63" s="288">
        <f>Inputs_SupplyCurve!I44</f>
        <v>0</v>
      </c>
      <c r="N63" s="285">
        <f>Inputs_SupplyCurve!J44+UPDATES!Y25</f>
        <v>845.95511050494667</v>
      </c>
      <c r="O63" s="285">
        <f>RefTables!$F$261+RefTables!$F$262</f>
        <v>317.69572197557414</v>
      </c>
      <c r="P63" s="20">
        <f t="shared" si="9"/>
        <v>1163.6508324805209</v>
      </c>
      <c r="Q63" s="291">
        <f>L63-S1_BaseRefNGNoHydro!L63+P63</f>
        <v>256.21692781470438</v>
      </c>
      <c r="R63" s="83"/>
    </row>
    <row r="64" spans="2:18" x14ac:dyDescent="0.35">
      <c r="B64" s="76"/>
      <c r="D64" s="184"/>
    </row>
    <row r="65" spans="2:12" x14ac:dyDescent="0.35">
      <c r="B65" s="326"/>
      <c r="C65" s="249"/>
      <c r="D65" s="249"/>
      <c r="E65" s="249"/>
      <c r="F65" s="249"/>
      <c r="G65" s="249"/>
      <c r="H65" s="249"/>
      <c r="I65" s="249"/>
      <c r="J65" s="249"/>
      <c r="K65" s="249"/>
      <c r="L65" s="249"/>
    </row>
    <row r="66" spans="2:12" x14ac:dyDescent="0.35">
      <c r="B66" s="326"/>
      <c r="C66" s="249"/>
      <c r="D66" s="249"/>
      <c r="E66" s="249"/>
      <c r="F66" s="249"/>
      <c r="G66" s="249"/>
      <c r="H66" s="249"/>
      <c r="I66" s="249"/>
      <c r="J66" s="249"/>
      <c r="K66" s="249"/>
      <c r="L66" s="249"/>
    </row>
  </sheetData>
  <mergeCells count="22">
    <mergeCell ref="B46:B47"/>
    <mergeCell ref="C46:L46"/>
    <mergeCell ref="M46:P46"/>
    <mergeCell ref="Q46:Q47"/>
    <mergeCell ref="B27:B28"/>
    <mergeCell ref="C27:E27"/>
    <mergeCell ref="J27:J28"/>
    <mergeCell ref="K27:M27"/>
    <mergeCell ref="Q27:R27"/>
    <mergeCell ref="B4:R4"/>
    <mergeCell ref="H27:H28"/>
    <mergeCell ref="P27:P28"/>
    <mergeCell ref="F27:G27"/>
    <mergeCell ref="N27:O27"/>
    <mergeCell ref="B25:R25"/>
    <mergeCell ref="C6:E6"/>
    <mergeCell ref="F6:G6"/>
    <mergeCell ref="Q6:R6"/>
    <mergeCell ref="H6:I6"/>
    <mergeCell ref="J6:K6"/>
    <mergeCell ref="L6:P6"/>
    <mergeCell ref="B6:B7"/>
  </mergeCells>
  <conditionalFormatting sqref="Q8:Q23">
    <cfRule type="expression" dxfId="4" priority="4">
      <formula>R8&lt;=95%</formula>
    </cfRule>
  </conditionalFormatting>
  <conditionalFormatting sqref="H8:H23">
    <cfRule type="expression" dxfId="3" priority="6">
      <formula>I8&lt;=95%</formula>
    </cfRule>
  </conditionalFormatting>
  <conditionalFormatting sqref="R34 P34">
    <cfRule type="expression" dxfId="2" priority="3">
      <formula>$P$34&lt;=#REF!</formula>
    </cfRule>
  </conditionalFormatting>
  <conditionalFormatting sqref="P44">
    <cfRule type="expression" dxfId="1" priority="2">
      <formula>$P$44&lt;=$Q$44</formula>
    </cfRule>
  </conditionalFormatting>
  <conditionalFormatting sqref="R44">
    <cfRule type="expression" dxfId="0" priority="1">
      <formula>R54&lt;=S54</formula>
    </cfRule>
  </conditionalFormatting>
  <pageMargins left="0.7" right="0.7" top="0.75" bottom="0.75" header="0.3" footer="0.3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 tint="0.249977111117893"/>
  </sheetPr>
  <dimension ref="B2:P299"/>
  <sheetViews>
    <sheetView showGridLines="0" zoomScale="85" zoomScaleNormal="85" workbookViewId="0">
      <selection activeCell="C37" sqref="C37"/>
    </sheetView>
  </sheetViews>
  <sheetFormatPr defaultRowHeight="17.25" x14ac:dyDescent="0.35"/>
  <cols>
    <col min="1" max="1" width="2.625" customWidth="1"/>
    <col min="2" max="2" width="21.25" bestFit="1" customWidth="1"/>
    <col min="3" max="15" width="17.625" customWidth="1"/>
  </cols>
  <sheetData>
    <row r="2" spans="2:10" ht="21.75" x14ac:dyDescent="0.45">
      <c r="B2" s="22" t="s">
        <v>4</v>
      </c>
    </row>
    <row r="4" spans="2:10" x14ac:dyDescent="0.35">
      <c r="B4" s="29" t="s">
        <v>99</v>
      </c>
      <c r="C4" s="30"/>
      <c r="D4" s="30"/>
      <c r="E4" s="30"/>
      <c r="F4" s="30"/>
      <c r="G4" s="30"/>
      <c r="H4" s="30"/>
      <c r="I4" s="30"/>
      <c r="J4" s="31"/>
    </row>
    <row r="5" spans="2:10" x14ac:dyDescent="0.35">
      <c r="B5" s="40" t="s">
        <v>5</v>
      </c>
      <c r="C5" s="32" t="s">
        <v>102</v>
      </c>
      <c r="D5" s="32"/>
      <c r="E5" s="32"/>
      <c r="F5" s="32"/>
      <c r="G5" s="32"/>
      <c r="H5" s="32"/>
      <c r="I5" s="32"/>
      <c r="J5" s="33"/>
    </row>
    <row r="6" spans="2:10" x14ac:dyDescent="0.35">
      <c r="B6" s="40" t="s">
        <v>6</v>
      </c>
      <c r="C6" s="32" t="s">
        <v>103</v>
      </c>
      <c r="D6" s="32"/>
      <c r="E6" s="32"/>
      <c r="F6" s="32"/>
      <c r="G6" s="32"/>
      <c r="H6" s="32"/>
      <c r="I6" s="32"/>
      <c r="J6" s="33"/>
    </row>
    <row r="7" spans="2:10" x14ac:dyDescent="0.35">
      <c r="B7" s="40" t="s">
        <v>7</v>
      </c>
      <c r="C7" s="32" t="s">
        <v>18</v>
      </c>
      <c r="D7" s="32"/>
      <c r="E7" s="32"/>
      <c r="F7" s="32"/>
      <c r="G7" s="32"/>
      <c r="H7" s="32"/>
      <c r="I7" s="32"/>
      <c r="J7" s="33"/>
    </row>
    <row r="8" spans="2:10" x14ac:dyDescent="0.35">
      <c r="B8" s="23"/>
      <c r="C8" s="2"/>
      <c r="D8" s="2"/>
      <c r="E8" s="2"/>
      <c r="F8" s="2"/>
      <c r="G8" s="2"/>
      <c r="H8" s="2"/>
      <c r="I8" s="2"/>
      <c r="J8" s="24"/>
    </row>
    <row r="9" spans="2:10" x14ac:dyDescent="0.35">
      <c r="B9" s="23"/>
      <c r="C9" s="2"/>
      <c r="D9" s="2"/>
      <c r="E9" s="37" t="s">
        <v>32</v>
      </c>
      <c r="F9" s="37" t="s">
        <v>33</v>
      </c>
      <c r="G9" s="2"/>
      <c r="H9" s="2"/>
      <c r="I9" s="2"/>
      <c r="J9" s="24"/>
    </row>
    <row r="10" spans="2:10" x14ac:dyDescent="0.35">
      <c r="B10" s="101" t="s">
        <v>276</v>
      </c>
      <c r="C10" s="2"/>
      <c r="D10" s="2"/>
      <c r="E10" s="39" t="s">
        <v>104</v>
      </c>
      <c r="F10" s="78">
        <v>1.022</v>
      </c>
      <c r="G10" s="2"/>
      <c r="H10" s="2"/>
      <c r="I10" s="2"/>
      <c r="J10" s="24"/>
    </row>
    <row r="11" spans="2:10" x14ac:dyDescent="0.35">
      <c r="B11" s="101" t="s">
        <v>277</v>
      </c>
      <c r="C11" s="2"/>
      <c r="D11" s="2"/>
      <c r="E11" s="39" t="s">
        <v>104</v>
      </c>
      <c r="F11" s="78">
        <v>1.0449999999999999</v>
      </c>
      <c r="G11" s="2"/>
      <c r="H11" s="2"/>
      <c r="I11" s="2"/>
      <c r="J11" s="24"/>
    </row>
    <row r="12" spans="2:10" x14ac:dyDescent="0.35">
      <c r="B12" s="74" t="s">
        <v>105</v>
      </c>
      <c r="C12" s="27"/>
      <c r="D12" s="27"/>
      <c r="E12" s="48" t="s">
        <v>263</v>
      </c>
      <c r="F12" s="102">
        <v>1.1023099999999999</v>
      </c>
      <c r="G12" s="27"/>
      <c r="H12" s="27"/>
      <c r="I12" s="27"/>
      <c r="J12" s="28"/>
    </row>
    <row r="14" spans="2:10" x14ac:dyDescent="0.35">
      <c r="B14" s="29" t="s">
        <v>100</v>
      </c>
      <c r="C14" s="30"/>
      <c r="D14" s="30"/>
      <c r="E14" s="30"/>
      <c r="F14" s="30"/>
      <c r="G14" s="30"/>
      <c r="H14" s="31"/>
    </row>
    <row r="15" spans="2:10" x14ac:dyDescent="0.35">
      <c r="B15" s="40" t="s">
        <v>5</v>
      </c>
      <c r="C15" s="32" t="s">
        <v>16</v>
      </c>
      <c r="D15" s="32"/>
      <c r="E15" s="32"/>
      <c r="F15" s="32"/>
      <c r="G15" s="32"/>
      <c r="H15" s="33"/>
    </row>
    <row r="16" spans="2:10" x14ac:dyDescent="0.35">
      <c r="B16" s="40" t="s">
        <v>6</v>
      </c>
      <c r="C16" s="32" t="s">
        <v>526</v>
      </c>
      <c r="D16" s="32"/>
      <c r="E16" s="32"/>
      <c r="F16" s="32"/>
      <c r="G16" s="32"/>
      <c r="H16" s="33"/>
    </row>
    <row r="17" spans="2:10" x14ac:dyDescent="0.35">
      <c r="B17" s="40" t="s">
        <v>7</v>
      </c>
      <c r="C17" s="32" t="s">
        <v>527</v>
      </c>
      <c r="D17" s="32"/>
      <c r="E17" s="32"/>
      <c r="F17" s="32"/>
      <c r="G17" s="32"/>
      <c r="H17" s="33"/>
    </row>
    <row r="18" spans="2:10" x14ac:dyDescent="0.35">
      <c r="B18" s="23"/>
      <c r="C18" s="2"/>
      <c r="D18" s="2"/>
      <c r="E18" s="2"/>
      <c r="F18" s="2"/>
      <c r="G18" s="2"/>
      <c r="H18" s="24"/>
    </row>
    <row r="19" spans="2:10" ht="34.5" x14ac:dyDescent="0.35">
      <c r="B19" s="36" t="s">
        <v>12</v>
      </c>
      <c r="C19" s="38" t="s">
        <v>19</v>
      </c>
      <c r="D19" s="39" t="s">
        <v>10</v>
      </c>
      <c r="E19" s="2"/>
      <c r="F19" s="2"/>
      <c r="G19" s="2"/>
      <c r="H19" s="24"/>
    </row>
    <row r="20" spans="2:10" x14ac:dyDescent="0.35">
      <c r="B20" s="36" t="s">
        <v>13</v>
      </c>
      <c r="C20" s="39" t="s">
        <v>3</v>
      </c>
      <c r="D20" s="39" t="s">
        <v>11</v>
      </c>
      <c r="E20" s="2"/>
      <c r="F20" s="2"/>
      <c r="G20" s="2"/>
      <c r="H20" s="24"/>
    </row>
    <row r="21" spans="2:10" x14ac:dyDescent="0.35">
      <c r="B21" s="36" t="s">
        <v>14</v>
      </c>
      <c r="C21" s="39" t="s">
        <v>9</v>
      </c>
      <c r="D21" s="39" t="s">
        <v>9</v>
      </c>
      <c r="E21" s="2"/>
      <c r="F21" s="2"/>
      <c r="G21" s="2"/>
      <c r="H21" s="24"/>
    </row>
    <row r="22" spans="2:10" x14ac:dyDescent="0.35">
      <c r="B22" s="36" t="s">
        <v>15</v>
      </c>
      <c r="C22" s="39" t="s">
        <v>8</v>
      </c>
      <c r="D22" s="39" t="s">
        <v>8</v>
      </c>
      <c r="E22" s="2"/>
      <c r="F22" s="2"/>
      <c r="G22" s="2"/>
      <c r="H22" s="24"/>
    </row>
    <row r="23" spans="2:10" x14ac:dyDescent="0.35">
      <c r="B23" s="25">
        <v>2015</v>
      </c>
      <c r="C23" s="34">
        <v>256296.41315247247</v>
      </c>
      <c r="D23" s="34">
        <v>153.61313706068813</v>
      </c>
      <c r="E23" s="329">
        <f>D23/C23</f>
        <v>5.9935734242719436E-4</v>
      </c>
      <c r="F23" s="2"/>
      <c r="G23" s="2"/>
      <c r="H23" s="24"/>
      <c r="J23" s="183"/>
    </row>
    <row r="24" spans="2:10" x14ac:dyDescent="0.35">
      <c r="B24" s="25">
        <v>2016</v>
      </c>
      <c r="C24" s="34">
        <v>260799.98541640525</v>
      </c>
      <c r="D24" s="34">
        <v>156.3377777560676</v>
      </c>
      <c r="E24" s="329">
        <f t="shared" ref="E24:E38" si="0">D24/C24</f>
        <v>5.9945470283079771E-4</v>
      </c>
      <c r="F24" s="2"/>
      <c r="G24" s="2"/>
      <c r="H24" s="24"/>
      <c r="J24" s="183"/>
    </row>
    <row r="25" spans="2:10" x14ac:dyDescent="0.35">
      <c r="B25" s="25">
        <v>2017</v>
      </c>
      <c r="C25" s="34">
        <v>264076.30049687106</v>
      </c>
      <c r="D25" s="34">
        <v>158.92353227380354</v>
      </c>
      <c r="E25" s="329">
        <f t="shared" si="0"/>
        <v>6.0180914370120298E-4</v>
      </c>
      <c r="F25" s="2"/>
      <c r="G25" s="2"/>
      <c r="H25" s="24"/>
      <c r="J25" s="183"/>
    </row>
    <row r="26" spans="2:10" x14ac:dyDescent="0.35">
      <c r="B26" s="25">
        <v>2018</v>
      </c>
      <c r="C26" s="34">
        <v>267832.61552245333</v>
      </c>
      <c r="D26" s="34">
        <v>161.70447478432601</v>
      </c>
      <c r="E26" s="329">
        <f t="shared" si="0"/>
        <v>6.0375199065615577E-4</v>
      </c>
      <c r="F26" s="2"/>
      <c r="G26" s="2"/>
      <c r="H26" s="24"/>
      <c r="J26" s="183"/>
    </row>
    <row r="27" spans="2:10" x14ac:dyDescent="0.35">
      <c r="B27" s="25">
        <v>2019</v>
      </c>
      <c r="C27" s="34">
        <v>271722.42158749461</v>
      </c>
      <c r="D27" s="34">
        <v>164.22916186487683</v>
      </c>
      <c r="E27" s="329">
        <f t="shared" si="0"/>
        <v>6.0440047937669009E-4</v>
      </c>
      <c r="F27" s="2"/>
      <c r="G27" s="2"/>
      <c r="H27" s="24"/>
      <c r="J27" s="183"/>
    </row>
    <row r="28" spans="2:10" x14ac:dyDescent="0.35">
      <c r="B28" s="25">
        <v>2020</v>
      </c>
      <c r="C28" s="34">
        <v>273081.03369543207</v>
      </c>
      <c r="D28" s="34">
        <v>165.05030767420121</v>
      </c>
      <c r="E28" s="329">
        <f t="shared" si="0"/>
        <v>6.0440047937669009E-4</v>
      </c>
      <c r="F28" s="2"/>
      <c r="G28" s="2"/>
      <c r="H28" s="24"/>
      <c r="J28" s="183"/>
    </row>
    <row r="29" spans="2:10" x14ac:dyDescent="0.35">
      <c r="B29" s="25">
        <v>2021</v>
      </c>
      <c r="C29" s="34">
        <v>274446.43886390922</v>
      </c>
      <c r="D29" s="34">
        <v>165.8755592125722</v>
      </c>
      <c r="E29" s="329">
        <f t="shared" si="0"/>
        <v>6.0440047937669009E-4</v>
      </c>
      <c r="F29" s="2"/>
      <c r="G29" s="2"/>
      <c r="H29" s="24"/>
      <c r="J29" s="183"/>
    </row>
    <row r="30" spans="2:10" x14ac:dyDescent="0.35">
      <c r="B30" s="25">
        <v>2022</v>
      </c>
      <c r="C30" s="34">
        <v>275818.67105822876</v>
      </c>
      <c r="D30" s="34">
        <v>166.70493700863506</v>
      </c>
      <c r="E30" s="329">
        <f t="shared" si="0"/>
        <v>6.0440047937669009E-4</v>
      </c>
      <c r="F30" s="2"/>
      <c r="G30" s="2"/>
      <c r="H30" s="24"/>
      <c r="J30" s="183"/>
    </row>
    <row r="31" spans="2:10" x14ac:dyDescent="0.35">
      <c r="B31" s="25">
        <v>2023</v>
      </c>
      <c r="C31" s="34">
        <v>277197.76441351988</v>
      </c>
      <c r="D31" s="34">
        <v>167.53846169367822</v>
      </c>
      <c r="E31" s="329">
        <f t="shared" si="0"/>
        <v>6.0440047937669009E-4</v>
      </c>
      <c r="F31" s="2"/>
      <c r="G31" s="2"/>
      <c r="H31" s="24"/>
      <c r="J31" s="183"/>
    </row>
    <row r="32" spans="2:10" x14ac:dyDescent="0.35">
      <c r="B32" s="25">
        <v>2024</v>
      </c>
      <c r="C32" s="34">
        <v>278583.75323558744</v>
      </c>
      <c r="D32" s="34">
        <v>168.37615400214659</v>
      </c>
      <c r="E32" s="329">
        <f t="shared" si="0"/>
        <v>6.0440047937669009E-4</v>
      </c>
      <c r="F32" s="2"/>
      <c r="G32" s="2"/>
      <c r="H32" s="24"/>
      <c r="J32" s="183"/>
    </row>
    <row r="33" spans="2:10" x14ac:dyDescent="0.35">
      <c r="B33" s="25">
        <v>2025</v>
      </c>
      <c r="C33" s="34">
        <v>279976.67200176534</v>
      </c>
      <c r="D33" s="34">
        <v>169.2180347721573</v>
      </c>
      <c r="E33" s="329">
        <f t="shared" si="0"/>
        <v>6.0440047937669009E-4</v>
      </c>
      <c r="F33" s="2"/>
      <c r="G33" s="2"/>
      <c r="H33" s="24"/>
      <c r="J33" s="183"/>
    </row>
    <row r="34" spans="2:10" x14ac:dyDescent="0.35">
      <c r="B34" s="25">
        <v>2026</v>
      </c>
      <c r="C34" s="34">
        <v>281376.55536177417</v>
      </c>
      <c r="D34" s="34">
        <v>170.06412494601807</v>
      </c>
      <c r="E34" s="329">
        <f t="shared" si="0"/>
        <v>6.0440047937668998E-4</v>
      </c>
      <c r="F34" s="2"/>
      <c r="G34" s="2"/>
      <c r="H34" s="24"/>
      <c r="J34" s="183"/>
    </row>
    <row r="35" spans="2:10" x14ac:dyDescent="0.35">
      <c r="B35" s="25">
        <v>2027</v>
      </c>
      <c r="C35" s="34">
        <v>282783.43813858303</v>
      </c>
      <c r="D35" s="34">
        <v>170.91444557074814</v>
      </c>
      <c r="E35" s="329">
        <f t="shared" si="0"/>
        <v>6.0440047937668998E-4</v>
      </c>
      <c r="F35" s="2"/>
      <c r="G35" s="2"/>
      <c r="H35" s="24"/>
      <c r="J35" s="183"/>
    </row>
    <row r="36" spans="2:10" x14ac:dyDescent="0.35">
      <c r="B36" s="25">
        <v>2028</v>
      </c>
      <c r="C36" s="34">
        <v>284197.35532927595</v>
      </c>
      <c r="D36" s="34">
        <v>171.76901779860185</v>
      </c>
      <c r="E36" s="329">
        <f t="shared" si="0"/>
        <v>6.0440047937668987E-4</v>
      </c>
      <c r="F36" s="2"/>
      <c r="G36" s="2"/>
      <c r="H36" s="24"/>
      <c r="J36" s="183"/>
    </row>
    <row r="37" spans="2:10" x14ac:dyDescent="0.35">
      <c r="B37" s="25">
        <v>2029</v>
      </c>
      <c r="C37" s="34">
        <v>285618.34210592229</v>
      </c>
      <c r="D37" s="34">
        <v>172.62786288759483</v>
      </c>
      <c r="E37" s="329">
        <f t="shared" si="0"/>
        <v>6.0440047937668987E-4</v>
      </c>
      <c r="F37" s="2"/>
      <c r="G37" s="2"/>
      <c r="H37" s="24"/>
      <c r="J37" s="183"/>
    </row>
    <row r="38" spans="2:10" x14ac:dyDescent="0.35">
      <c r="B38" s="26">
        <v>2030</v>
      </c>
      <c r="C38" s="35">
        <v>287046.43381645187</v>
      </c>
      <c r="D38" s="35">
        <v>173.49100220203277</v>
      </c>
      <c r="E38" s="330">
        <f t="shared" si="0"/>
        <v>6.0440047937668977E-4</v>
      </c>
      <c r="F38" s="27"/>
      <c r="G38" s="27"/>
      <c r="H38" s="28"/>
      <c r="J38" s="183"/>
    </row>
    <row r="39" spans="2:10" x14ac:dyDescent="0.35">
      <c r="D39" s="21"/>
    </row>
    <row r="40" spans="2:10" x14ac:dyDescent="0.35">
      <c r="B40" s="29" t="s">
        <v>101</v>
      </c>
      <c r="C40" s="30"/>
      <c r="D40" s="42"/>
      <c r="E40" s="30"/>
      <c r="F40" s="31"/>
    </row>
    <row r="41" spans="2:10" x14ac:dyDescent="0.35">
      <c r="B41" s="40" t="s">
        <v>5</v>
      </c>
      <c r="C41" s="32" t="s">
        <v>28</v>
      </c>
      <c r="D41" s="43"/>
      <c r="E41" s="32"/>
      <c r="F41" s="33"/>
    </row>
    <row r="42" spans="2:10" x14ac:dyDescent="0.35">
      <c r="B42" s="40" t="s">
        <v>6</v>
      </c>
      <c r="C42" s="32" t="s">
        <v>27</v>
      </c>
      <c r="D42" s="43"/>
      <c r="E42" s="32"/>
      <c r="F42" s="33"/>
    </row>
    <row r="43" spans="2:10" x14ac:dyDescent="0.35">
      <c r="B43" s="40" t="s">
        <v>7</v>
      </c>
      <c r="C43" s="32" t="s">
        <v>29</v>
      </c>
      <c r="D43" s="43"/>
      <c r="E43" s="32"/>
      <c r="F43" s="33"/>
    </row>
    <row r="44" spans="2:10" x14ac:dyDescent="0.35">
      <c r="B44" s="23"/>
      <c r="C44" s="2"/>
      <c r="D44" s="44"/>
      <c r="E44" s="2"/>
      <c r="F44" s="24"/>
    </row>
    <row r="45" spans="2:10" x14ac:dyDescent="0.35">
      <c r="B45" s="45" t="s">
        <v>22</v>
      </c>
      <c r="C45" s="2"/>
      <c r="D45" s="2"/>
      <c r="E45" s="37" t="s">
        <v>32</v>
      </c>
      <c r="F45" s="46" t="s">
        <v>33</v>
      </c>
    </row>
    <row r="46" spans="2:10" x14ac:dyDescent="0.35">
      <c r="B46" s="23" t="s">
        <v>23</v>
      </c>
      <c r="C46" s="2"/>
      <c r="D46" s="2"/>
      <c r="E46" s="39" t="s">
        <v>21</v>
      </c>
      <c r="F46" s="47">
        <v>29566</v>
      </c>
    </row>
    <row r="47" spans="2:10" x14ac:dyDescent="0.35">
      <c r="B47" s="23" t="s">
        <v>24</v>
      </c>
      <c r="C47" s="2"/>
      <c r="D47" s="2"/>
      <c r="E47" s="39" t="s">
        <v>21</v>
      </c>
      <c r="F47" s="47">
        <v>13317</v>
      </c>
    </row>
    <row r="48" spans="2:10" x14ac:dyDescent="0.35">
      <c r="B48" s="23" t="s">
        <v>25</v>
      </c>
      <c r="C48" s="2"/>
      <c r="D48" s="2"/>
      <c r="E48" s="39" t="s">
        <v>21</v>
      </c>
      <c r="F48" s="47">
        <v>19874</v>
      </c>
    </row>
    <row r="49" spans="2:7" x14ac:dyDescent="0.35">
      <c r="B49" s="52" t="s">
        <v>26</v>
      </c>
      <c r="C49" s="49"/>
      <c r="D49" s="49"/>
      <c r="E49" s="50" t="s">
        <v>21</v>
      </c>
      <c r="F49" s="51">
        <f>SUM(F46:F48)</f>
        <v>62757</v>
      </c>
    </row>
    <row r="51" spans="2:7" x14ac:dyDescent="0.35">
      <c r="B51" s="29" t="s">
        <v>514</v>
      </c>
      <c r="C51" s="30"/>
      <c r="D51" s="42"/>
      <c r="E51" s="30"/>
      <c r="F51" s="30"/>
      <c r="G51" s="31"/>
    </row>
    <row r="52" spans="2:7" x14ac:dyDescent="0.35">
      <c r="B52" s="40" t="s">
        <v>5</v>
      </c>
      <c r="C52" s="32" t="s">
        <v>30</v>
      </c>
      <c r="D52" s="43"/>
      <c r="E52" s="32"/>
      <c r="F52" s="32"/>
      <c r="G52" s="33"/>
    </row>
    <row r="53" spans="2:7" x14ac:dyDescent="0.35">
      <c r="B53" s="40" t="s">
        <v>6</v>
      </c>
      <c r="C53" s="32" t="s">
        <v>29</v>
      </c>
      <c r="D53" s="43"/>
      <c r="E53" s="32"/>
      <c r="F53" s="32"/>
      <c r="G53" s="33"/>
    </row>
    <row r="54" spans="2:7" x14ac:dyDescent="0.35">
      <c r="B54" s="40" t="s">
        <v>7</v>
      </c>
      <c r="C54" s="32" t="s">
        <v>29</v>
      </c>
      <c r="D54" s="43"/>
      <c r="E54" s="32"/>
      <c r="F54" s="32"/>
      <c r="G54" s="33"/>
    </row>
    <row r="55" spans="2:7" x14ac:dyDescent="0.35">
      <c r="B55" s="23"/>
      <c r="C55" s="2"/>
      <c r="D55" s="44"/>
      <c r="E55" s="2"/>
      <c r="F55" s="2"/>
      <c r="G55" s="24"/>
    </row>
    <row r="56" spans="2:7" x14ac:dyDescent="0.35">
      <c r="B56" s="23"/>
      <c r="C56" s="2"/>
      <c r="D56" s="2"/>
      <c r="E56" s="37" t="s">
        <v>32</v>
      </c>
      <c r="F56" s="37" t="s">
        <v>33</v>
      </c>
      <c r="G56" s="24"/>
    </row>
    <row r="57" spans="2:7" x14ac:dyDescent="0.35">
      <c r="B57" s="54" t="s">
        <v>31</v>
      </c>
      <c r="C57" s="27"/>
      <c r="D57" s="27"/>
      <c r="E57" s="41" t="s">
        <v>34</v>
      </c>
      <c r="F57" s="53">
        <v>5.6000000000000001E-2</v>
      </c>
      <c r="G57" s="28"/>
    </row>
    <row r="59" spans="2:7" x14ac:dyDescent="0.35">
      <c r="B59" s="29" t="s">
        <v>516</v>
      </c>
      <c r="C59" s="30"/>
      <c r="D59" s="42"/>
      <c r="E59" s="30"/>
      <c r="F59" s="30"/>
      <c r="G59" s="31"/>
    </row>
    <row r="60" spans="2:7" x14ac:dyDescent="0.35">
      <c r="B60" s="40" t="s">
        <v>5</v>
      </c>
      <c r="C60" s="32" t="s">
        <v>515</v>
      </c>
      <c r="D60" s="43"/>
      <c r="E60" s="32"/>
      <c r="F60" s="32"/>
      <c r="G60" s="33"/>
    </row>
    <row r="61" spans="2:7" x14ac:dyDescent="0.35">
      <c r="B61" s="40" t="s">
        <v>6</v>
      </c>
      <c r="C61" s="32" t="s">
        <v>29</v>
      </c>
      <c r="D61" s="43"/>
      <c r="E61" s="32"/>
      <c r="F61" s="32"/>
      <c r="G61" s="33"/>
    </row>
    <row r="62" spans="2:7" x14ac:dyDescent="0.35">
      <c r="B62" s="40" t="s">
        <v>7</v>
      </c>
      <c r="C62" s="32" t="s">
        <v>29</v>
      </c>
      <c r="D62" s="43"/>
      <c r="E62" s="32"/>
      <c r="F62" s="32"/>
      <c r="G62" s="33"/>
    </row>
    <row r="63" spans="2:7" x14ac:dyDescent="0.35">
      <c r="B63" s="23"/>
      <c r="C63" s="2"/>
      <c r="D63" s="44"/>
      <c r="E63" s="2"/>
      <c r="F63" s="2"/>
      <c r="G63" s="24"/>
    </row>
    <row r="64" spans="2:7" x14ac:dyDescent="0.35">
      <c r="B64" s="23"/>
      <c r="C64" s="2"/>
      <c r="D64" s="2"/>
      <c r="E64" s="324" t="s">
        <v>32</v>
      </c>
      <c r="F64" s="324" t="s">
        <v>33</v>
      </c>
      <c r="G64" s="24"/>
    </row>
    <row r="65" spans="2:14" x14ac:dyDescent="0.35">
      <c r="B65" s="54" t="s">
        <v>31</v>
      </c>
      <c r="C65" s="27"/>
      <c r="D65" s="27"/>
      <c r="E65" s="41" t="s">
        <v>34</v>
      </c>
      <c r="F65" s="53">
        <f>1/24</f>
        <v>4.1666666666666664E-2</v>
      </c>
      <c r="G65" s="28"/>
    </row>
    <row r="67" spans="2:14" x14ac:dyDescent="0.35">
      <c r="B67" s="29" t="s">
        <v>506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1"/>
    </row>
    <row r="68" spans="2:14" x14ac:dyDescent="0.35">
      <c r="B68" s="40" t="s">
        <v>5</v>
      </c>
      <c r="C68" s="32" t="s">
        <v>46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3"/>
    </row>
    <row r="69" spans="2:14" x14ac:dyDescent="0.35">
      <c r="B69" s="40" t="s">
        <v>6</v>
      </c>
      <c r="C69" s="32" t="s">
        <v>27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3"/>
    </row>
    <row r="70" spans="2:14" x14ac:dyDescent="0.35">
      <c r="B70" s="40"/>
      <c r="C70" s="56" t="s">
        <v>45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3"/>
    </row>
    <row r="71" spans="2:14" x14ac:dyDescent="0.35">
      <c r="B71" s="40"/>
      <c r="C71" s="57" t="s">
        <v>47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3"/>
    </row>
    <row r="72" spans="2:14" x14ac:dyDescent="0.35">
      <c r="B72" s="40" t="s">
        <v>7</v>
      </c>
      <c r="C72" s="32" t="s">
        <v>29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3"/>
    </row>
    <row r="73" spans="2:14" x14ac:dyDescent="0.35">
      <c r="B73" s="2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4"/>
    </row>
    <row r="74" spans="2:14" x14ac:dyDescent="0.35">
      <c r="B74" s="23"/>
      <c r="C74" s="2"/>
      <c r="D74" s="2"/>
      <c r="E74" s="37" t="s">
        <v>32</v>
      </c>
      <c r="F74" s="37" t="s">
        <v>33</v>
      </c>
      <c r="G74" s="58" t="s">
        <v>40</v>
      </c>
      <c r="H74" s="2"/>
      <c r="I74" s="2"/>
      <c r="J74" s="2"/>
      <c r="K74" s="2"/>
      <c r="L74" s="2"/>
      <c r="M74" s="2"/>
      <c r="N74" s="24"/>
    </row>
    <row r="75" spans="2:14" x14ac:dyDescent="0.35">
      <c r="B75" s="23" t="s">
        <v>35</v>
      </c>
      <c r="C75" s="2" t="s">
        <v>36</v>
      </c>
      <c r="D75" s="2"/>
      <c r="E75" s="39" t="s">
        <v>41</v>
      </c>
      <c r="F75" s="34">
        <v>705</v>
      </c>
      <c r="G75" s="59" t="s">
        <v>48</v>
      </c>
      <c r="H75" s="2"/>
      <c r="I75" s="2"/>
      <c r="J75" s="2"/>
      <c r="K75" s="2"/>
      <c r="L75" s="2"/>
      <c r="M75" s="2"/>
      <c r="N75" s="24"/>
    </row>
    <row r="76" spans="2:14" x14ac:dyDescent="0.35">
      <c r="B76" s="23" t="s">
        <v>35</v>
      </c>
      <c r="C76" s="2" t="s">
        <v>37</v>
      </c>
      <c r="D76" s="2"/>
      <c r="E76" s="39" t="s">
        <v>41</v>
      </c>
      <c r="F76" s="34">
        <v>597</v>
      </c>
      <c r="G76" s="59" t="s">
        <v>48</v>
      </c>
      <c r="H76" s="2"/>
      <c r="I76" s="2"/>
      <c r="J76" s="2"/>
      <c r="K76" s="2"/>
      <c r="L76" s="2"/>
      <c r="M76" s="2"/>
      <c r="N76" s="24"/>
    </row>
    <row r="77" spans="2:14" x14ac:dyDescent="0.35">
      <c r="B77" s="23" t="s">
        <v>35</v>
      </c>
      <c r="C77" s="2" t="s">
        <v>38</v>
      </c>
      <c r="D77" s="2"/>
      <c r="E77" s="39" t="s">
        <v>41</v>
      </c>
      <c r="F77" s="34">
        <v>711</v>
      </c>
      <c r="G77" s="59" t="s">
        <v>48</v>
      </c>
      <c r="H77" s="2"/>
      <c r="I77" s="2"/>
      <c r="J77" s="2"/>
      <c r="K77" s="2"/>
      <c r="L77" s="2"/>
      <c r="M77" s="2"/>
      <c r="N77" s="24"/>
    </row>
    <row r="78" spans="2:14" x14ac:dyDescent="0.35">
      <c r="B78" s="23" t="s">
        <v>35</v>
      </c>
      <c r="C78" s="2" t="s">
        <v>39</v>
      </c>
      <c r="D78" s="2"/>
      <c r="E78" s="39" t="s">
        <v>21</v>
      </c>
      <c r="F78" s="34">
        <v>342000</v>
      </c>
      <c r="G78" s="59" t="s">
        <v>49</v>
      </c>
      <c r="H78" s="2"/>
      <c r="I78" s="2"/>
      <c r="J78" s="2"/>
      <c r="K78" s="2"/>
      <c r="L78" s="2"/>
      <c r="M78" s="2"/>
      <c r="N78" s="24"/>
    </row>
    <row r="79" spans="2:14" x14ac:dyDescent="0.35">
      <c r="B79" s="66" t="s">
        <v>35</v>
      </c>
      <c r="C79" s="67" t="s">
        <v>43</v>
      </c>
      <c r="D79" s="67"/>
      <c r="E79" s="68" t="s">
        <v>42</v>
      </c>
      <c r="F79" s="69">
        <f>SUM(F75:F77)*F10*1000*F65</f>
        <v>85720.25</v>
      </c>
      <c r="G79" s="70" t="s">
        <v>50</v>
      </c>
      <c r="H79" s="67"/>
      <c r="I79" s="67"/>
      <c r="J79" s="67"/>
      <c r="K79" s="67"/>
      <c r="L79" s="67"/>
      <c r="M79" s="67"/>
      <c r="N79" s="71"/>
    </row>
    <row r="80" spans="2:14" x14ac:dyDescent="0.35">
      <c r="B80" s="60" t="s">
        <v>35</v>
      </c>
      <c r="C80" s="27" t="s">
        <v>44</v>
      </c>
      <c r="D80" s="27"/>
      <c r="E80" s="48" t="s">
        <v>42</v>
      </c>
      <c r="F80" s="64">
        <f>(SUM(F75:F77)*F10*1000+F78)*F65</f>
        <v>99970.25</v>
      </c>
      <c r="G80" s="61" t="s">
        <v>50</v>
      </c>
      <c r="H80" s="27"/>
      <c r="I80" s="27"/>
      <c r="J80" s="27"/>
      <c r="K80" s="27"/>
      <c r="L80" s="27"/>
      <c r="M80" s="27"/>
      <c r="N80" s="28"/>
    </row>
    <row r="82" spans="2:14" x14ac:dyDescent="0.35">
      <c r="B82" s="29" t="s">
        <v>507</v>
      </c>
      <c r="C82" s="30"/>
      <c r="D82" s="30"/>
      <c r="E82" s="30"/>
      <c r="F82" s="30"/>
      <c r="G82" s="30"/>
      <c r="H82" s="30"/>
      <c r="I82" s="30"/>
      <c r="J82" s="31"/>
    </row>
    <row r="83" spans="2:14" x14ac:dyDescent="0.35">
      <c r="B83" s="40" t="s">
        <v>5</v>
      </c>
      <c r="C83" s="32" t="s">
        <v>98</v>
      </c>
      <c r="D83" s="32"/>
      <c r="E83" s="32"/>
      <c r="F83" s="32"/>
      <c r="G83" s="32"/>
      <c r="H83" s="32"/>
      <c r="I83" s="32"/>
      <c r="J83" s="33"/>
    </row>
    <row r="84" spans="2:14" x14ac:dyDescent="0.35">
      <c r="B84" s="40" t="s">
        <v>6</v>
      </c>
      <c r="C84" s="32" t="s">
        <v>96</v>
      </c>
      <c r="D84" s="32"/>
      <c r="E84" s="32"/>
      <c r="F84" s="32"/>
      <c r="G84" s="32"/>
      <c r="H84" s="32"/>
      <c r="I84" s="32"/>
      <c r="J84" s="33"/>
    </row>
    <row r="85" spans="2:14" x14ac:dyDescent="0.35">
      <c r="B85" s="40"/>
      <c r="C85" s="32" t="s">
        <v>86</v>
      </c>
      <c r="D85" s="32"/>
      <c r="E85" s="32"/>
      <c r="F85" s="32"/>
      <c r="G85" s="32"/>
      <c r="H85" s="32"/>
      <c r="I85" s="32"/>
      <c r="J85" s="33"/>
    </row>
    <row r="86" spans="2:14" x14ac:dyDescent="0.35">
      <c r="B86" s="40"/>
      <c r="C86" s="56" t="s">
        <v>88</v>
      </c>
      <c r="D86" s="32"/>
      <c r="E86" s="32"/>
      <c r="F86" s="32"/>
      <c r="G86" s="32"/>
      <c r="H86" s="32"/>
      <c r="I86" s="32"/>
      <c r="J86" s="33"/>
    </row>
    <row r="87" spans="2:14" x14ac:dyDescent="0.35">
      <c r="B87" s="40"/>
      <c r="C87" s="57" t="s">
        <v>90</v>
      </c>
      <c r="D87" s="32"/>
      <c r="E87" s="32"/>
      <c r="F87" s="32"/>
      <c r="G87" s="32"/>
      <c r="H87" s="32"/>
      <c r="I87" s="32"/>
      <c r="J87" s="33"/>
    </row>
    <row r="88" spans="2:14" x14ac:dyDescent="0.35">
      <c r="B88" s="40"/>
      <c r="C88" s="57" t="s">
        <v>92</v>
      </c>
      <c r="D88" s="32"/>
      <c r="E88" s="32"/>
      <c r="F88" s="32"/>
      <c r="G88" s="32"/>
      <c r="H88" s="32"/>
      <c r="I88" s="32"/>
      <c r="J88" s="33"/>
    </row>
    <row r="89" spans="2:14" x14ac:dyDescent="0.35">
      <c r="B89" s="40"/>
      <c r="C89" s="57" t="s">
        <v>93</v>
      </c>
      <c r="D89" s="32"/>
      <c r="E89" s="32"/>
      <c r="F89" s="32"/>
      <c r="G89" s="32"/>
      <c r="H89" s="32"/>
      <c r="I89" s="32"/>
      <c r="J89" s="33"/>
    </row>
    <row r="90" spans="2:14" x14ac:dyDescent="0.35">
      <c r="B90" s="40"/>
      <c r="C90" s="57" t="s">
        <v>475</v>
      </c>
      <c r="D90" s="32"/>
      <c r="E90" s="32"/>
      <c r="F90" s="32"/>
      <c r="G90" s="32"/>
      <c r="H90" s="32"/>
      <c r="I90" s="32"/>
      <c r="J90" s="33"/>
    </row>
    <row r="91" spans="2:14" ht="17.25" customHeight="1" x14ac:dyDescent="0.35">
      <c r="B91" s="40" t="s">
        <v>7</v>
      </c>
      <c r="C91" s="32" t="s">
        <v>29</v>
      </c>
      <c r="D91" s="32"/>
      <c r="E91" s="32"/>
      <c r="F91" s="32"/>
      <c r="G91" s="32"/>
      <c r="H91" s="32"/>
      <c r="I91" s="32"/>
      <c r="J91" s="33"/>
      <c r="K91" s="55"/>
      <c r="L91" s="55"/>
      <c r="M91" s="55"/>
      <c r="N91" s="55"/>
    </row>
    <row r="92" spans="2:14" x14ac:dyDescent="0.35">
      <c r="B92" s="23"/>
      <c r="C92" s="2"/>
      <c r="D92" s="2"/>
      <c r="E92" s="2"/>
      <c r="F92" s="2"/>
      <c r="G92" s="2"/>
      <c r="H92" s="2"/>
      <c r="I92" s="2"/>
      <c r="J92" s="24"/>
    </row>
    <row r="93" spans="2:14" x14ac:dyDescent="0.35">
      <c r="B93" s="45" t="s">
        <v>66</v>
      </c>
      <c r="C93" s="58" t="s">
        <v>75</v>
      </c>
      <c r="D93" s="58" t="s">
        <v>76</v>
      </c>
      <c r="E93" s="37" t="s">
        <v>32</v>
      </c>
      <c r="F93" s="37" t="s">
        <v>33</v>
      </c>
      <c r="G93" s="58" t="s">
        <v>40</v>
      </c>
      <c r="H93" s="2"/>
      <c r="I93" s="2"/>
      <c r="J93" s="24"/>
    </row>
    <row r="94" spans="2:14" x14ac:dyDescent="0.35">
      <c r="B94" s="23" t="s">
        <v>51</v>
      </c>
      <c r="C94" s="2" t="s">
        <v>446</v>
      </c>
      <c r="D94" s="2" t="s">
        <v>268</v>
      </c>
      <c r="E94" s="39" t="s">
        <v>74</v>
      </c>
      <c r="F94" s="62">
        <v>280000</v>
      </c>
      <c r="G94" s="59" t="s">
        <v>97</v>
      </c>
      <c r="H94" s="2"/>
      <c r="I94" s="2"/>
      <c r="J94" s="24"/>
    </row>
    <row r="95" spans="2:14" x14ac:dyDescent="0.35">
      <c r="B95" s="23" t="s">
        <v>51</v>
      </c>
      <c r="C95" s="2" t="s">
        <v>447</v>
      </c>
      <c r="D95" s="2" t="s">
        <v>268</v>
      </c>
      <c r="E95" s="39" t="s">
        <v>74</v>
      </c>
      <c r="F95" s="62">
        <v>435000</v>
      </c>
      <c r="G95" s="59" t="s">
        <v>97</v>
      </c>
      <c r="H95" s="2"/>
      <c r="I95" s="2"/>
      <c r="J95" s="24"/>
    </row>
    <row r="96" spans="2:14" x14ac:dyDescent="0.35">
      <c r="B96" s="23" t="s">
        <v>52</v>
      </c>
      <c r="C96" s="2" t="s">
        <v>53</v>
      </c>
      <c r="D96" s="2" t="s">
        <v>269</v>
      </c>
      <c r="E96" s="39" t="s">
        <v>21</v>
      </c>
      <c r="F96" s="62">
        <v>198968</v>
      </c>
      <c r="G96" s="59" t="s">
        <v>97</v>
      </c>
      <c r="H96" s="2"/>
      <c r="I96" s="2"/>
      <c r="J96" s="24"/>
    </row>
    <row r="97" spans="2:10" x14ac:dyDescent="0.35">
      <c r="B97" s="23" t="s">
        <v>52</v>
      </c>
      <c r="C97" s="2" t="s">
        <v>54</v>
      </c>
      <c r="D97" s="2" t="s">
        <v>269</v>
      </c>
      <c r="E97" s="39" t="s">
        <v>21</v>
      </c>
      <c r="F97" s="62">
        <v>120142</v>
      </c>
      <c r="G97" s="59" t="s">
        <v>97</v>
      </c>
      <c r="H97" s="2"/>
      <c r="I97" s="2"/>
      <c r="J97" s="24"/>
    </row>
    <row r="98" spans="2:10" x14ac:dyDescent="0.35">
      <c r="B98" s="23" t="s">
        <v>52</v>
      </c>
      <c r="C98" s="2" t="s">
        <v>55</v>
      </c>
      <c r="D98" s="2" t="s">
        <v>269</v>
      </c>
      <c r="E98" s="39" t="s">
        <v>21</v>
      </c>
      <c r="F98" s="62">
        <v>31768</v>
      </c>
      <c r="G98" s="59" t="s">
        <v>97</v>
      </c>
      <c r="H98" s="2"/>
      <c r="I98" s="2"/>
      <c r="J98" s="24"/>
    </row>
    <row r="99" spans="2:10" x14ac:dyDescent="0.35">
      <c r="B99" s="23" t="s">
        <v>52</v>
      </c>
      <c r="C99" s="2" t="s">
        <v>56</v>
      </c>
      <c r="D99" s="2" t="s">
        <v>269</v>
      </c>
      <c r="E99" s="39" t="s">
        <v>21</v>
      </c>
      <c r="F99" s="62">
        <v>83600</v>
      </c>
      <c r="G99" s="59" t="s">
        <v>97</v>
      </c>
      <c r="H99" s="2"/>
      <c r="I99" s="2"/>
      <c r="J99" s="24"/>
    </row>
    <row r="100" spans="2:10" x14ac:dyDescent="0.35">
      <c r="B100" s="23" t="s">
        <v>52</v>
      </c>
      <c r="C100" s="2" t="s">
        <v>57</v>
      </c>
      <c r="D100" s="2" t="s">
        <v>269</v>
      </c>
      <c r="E100" s="39" t="s">
        <v>21</v>
      </c>
      <c r="F100" s="62">
        <v>0</v>
      </c>
      <c r="G100" s="59" t="s">
        <v>97</v>
      </c>
      <c r="H100" s="2"/>
      <c r="I100" s="2"/>
      <c r="J100" s="24"/>
    </row>
    <row r="101" spans="2:10" x14ac:dyDescent="0.35">
      <c r="B101" s="23" t="s">
        <v>52</v>
      </c>
      <c r="C101" s="2" t="s">
        <v>58</v>
      </c>
      <c r="D101" s="2" t="s">
        <v>269</v>
      </c>
      <c r="E101" s="39" t="s">
        <v>21</v>
      </c>
      <c r="F101" s="62">
        <v>27600</v>
      </c>
      <c r="G101" s="59" t="s">
        <v>97</v>
      </c>
      <c r="H101" s="2"/>
      <c r="I101" s="2"/>
      <c r="J101" s="24"/>
    </row>
    <row r="102" spans="2:10" x14ac:dyDescent="0.35">
      <c r="B102" s="23" t="s">
        <v>52</v>
      </c>
      <c r="C102" s="2" t="s">
        <v>59</v>
      </c>
      <c r="D102" s="2" t="s">
        <v>269</v>
      </c>
      <c r="E102" s="39" t="s">
        <v>21</v>
      </c>
      <c r="F102" s="62">
        <v>4494</v>
      </c>
      <c r="G102" s="59" t="s">
        <v>97</v>
      </c>
      <c r="H102" s="2"/>
      <c r="I102" s="2"/>
      <c r="J102" s="24"/>
    </row>
    <row r="103" spans="2:10" x14ac:dyDescent="0.35">
      <c r="B103" s="23" t="s">
        <v>52</v>
      </c>
      <c r="C103" s="2" t="s">
        <v>60</v>
      </c>
      <c r="D103" s="2" t="s">
        <v>269</v>
      </c>
      <c r="E103" s="39" t="s">
        <v>21</v>
      </c>
      <c r="F103" s="62">
        <v>41069</v>
      </c>
      <c r="G103" s="59" t="s">
        <v>97</v>
      </c>
      <c r="H103" s="2"/>
      <c r="I103" s="2"/>
      <c r="J103" s="24"/>
    </row>
    <row r="104" spans="2:10" x14ac:dyDescent="0.35">
      <c r="B104" s="23" t="s">
        <v>65</v>
      </c>
      <c r="C104" s="2" t="s">
        <v>61</v>
      </c>
      <c r="D104" s="2" t="s">
        <v>269</v>
      </c>
      <c r="E104" s="39" t="s">
        <v>21</v>
      </c>
      <c r="F104" s="62">
        <v>44000</v>
      </c>
      <c r="G104" s="59" t="s">
        <v>87</v>
      </c>
      <c r="H104" s="2"/>
      <c r="I104" s="2"/>
      <c r="J104" s="24"/>
    </row>
    <row r="105" spans="2:10" x14ac:dyDescent="0.35">
      <c r="B105" s="23" t="s">
        <v>65</v>
      </c>
      <c r="C105" s="2" t="s">
        <v>62</v>
      </c>
      <c r="D105" s="2" t="s">
        <v>269</v>
      </c>
      <c r="E105" s="39" t="s">
        <v>21</v>
      </c>
      <c r="F105" s="62">
        <v>12500</v>
      </c>
      <c r="G105" s="59" t="s">
        <v>87</v>
      </c>
      <c r="H105" s="2"/>
      <c r="I105" s="2"/>
      <c r="J105" s="24"/>
    </row>
    <row r="106" spans="2:10" x14ac:dyDescent="0.35">
      <c r="B106" s="23" t="s">
        <v>65</v>
      </c>
      <c r="C106" s="2" t="s">
        <v>63</v>
      </c>
      <c r="D106" s="2" t="s">
        <v>269</v>
      </c>
      <c r="E106" s="39" t="s">
        <v>21</v>
      </c>
      <c r="F106" s="62">
        <v>48000</v>
      </c>
      <c r="G106" s="59" t="s">
        <v>87</v>
      </c>
      <c r="H106" s="2"/>
      <c r="I106" s="2"/>
      <c r="J106" s="24"/>
    </row>
    <row r="107" spans="2:10" x14ac:dyDescent="0.35">
      <c r="B107" s="23" t="s">
        <v>65</v>
      </c>
      <c r="C107" s="2" t="s">
        <v>64</v>
      </c>
      <c r="D107" s="2" t="s">
        <v>269</v>
      </c>
      <c r="E107" s="39" t="s">
        <v>21</v>
      </c>
      <c r="F107" s="62">
        <v>8000</v>
      </c>
      <c r="G107" s="59" t="s">
        <v>87</v>
      </c>
      <c r="H107" s="2"/>
      <c r="I107" s="2"/>
      <c r="J107" s="24"/>
    </row>
    <row r="108" spans="2:10" x14ac:dyDescent="0.35">
      <c r="B108" s="23" t="s">
        <v>67</v>
      </c>
      <c r="C108" s="2" t="s">
        <v>68</v>
      </c>
      <c r="D108" s="2" t="s">
        <v>269</v>
      </c>
      <c r="E108" s="39" t="s">
        <v>21</v>
      </c>
      <c r="F108" s="62">
        <v>180000</v>
      </c>
      <c r="G108" s="59" t="s">
        <v>89</v>
      </c>
      <c r="H108" s="2"/>
      <c r="I108" s="2"/>
      <c r="J108" s="24"/>
    </row>
    <row r="109" spans="2:10" x14ac:dyDescent="0.35">
      <c r="B109" s="23" t="s">
        <v>67</v>
      </c>
      <c r="C109" s="2" t="s">
        <v>69</v>
      </c>
      <c r="D109" s="2" t="s">
        <v>269</v>
      </c>
      <c r="E109" s="39" t="s">
        <v>21</v>
      </c>
      <c r="F109" s="62">
        <v>30000</v>
      </c>
      <c r="G109" s="59" t="s">
        <v>89</v>
      </c>
      <c r="H109" s="2"/>
      <c r="I109" s="2"/>
      <c r="J109" s="24"/>
    </row>
    <row r="110" spans="2:10" x14ac:dyDescent="0.35">
      <c r="B110" s="23" t="s">
        <v>70</v>
      </c>
      <c r="C110" s="2" t="s">
        <v>71</v>
      </c>
      <c r="D110" s="2" t="s">
        <v>269</v>
      </c>
      <c r="E110" s="39" t="s">
        <v>21</v>
      </c>
      <c r="F110" s="62">
        <v>20000</v>
      </c>
      <c r="G110" s="59" t="s">
        <v>91</v>
      </c>
      <c r="H110" s="2"/>
      <c r="I110" s="2"/>
      <c r="J110" s="24"/>
    </row>
    <row r="111" spans="2:10" x14ac:dyDescent="0.35">
      <c r="B111" s="23" t="s">
        <v>72</v>
      </c>
      <c r="C111" s="2" t="s">
        <v>29</v>
      </c>
      <c r="D111" s="2" t="s">
        <v>269</v>
      </c>
      <c r="E111" s="39" t="s">
        <v>21</v>
      </c>
      <c r="F111" s="62">
        <v>7200</v>
      </c>
      <c r="G111" s="59" t="s">
        <v>94</v>
      </c>
      <c r="H111" s="2"/>
      <c r="I111" s="2"/>
      <c r="J111" s="24"/>
    </row>
    <row r="112" spans="2:10" x14ac:dyDescent="0.35">
      <c r="B112" s="23" t="s">
        <v>73</v>
      </c>
      <c r="C112" s="2" t="s">
        <v>29</v>
      </c>
      <c r="D112" s="2" t="s">
        <v>269</v>
      </c>
      <c r="E112" s="39" t="s">
        <v>21</v>
      </c>
      <c r="F112" s="62">
        <v>3300</v>
      </c>
      <c r="G112" s="59" t="s">
        <v>95</v>
      </c>
      <c r="H112" s="2"/>
      <c r="I112" s="2"/>
      <c r="J112" s="24"/>
    </row>
    <row r="113" spans="2:10" x14ac:dyDescent="0.35">
      <c r="B113" s="23" t="s">
        <v>448</v>
      </c>
      <c r="C113" s="2" t="s">
        <v>449</v>
      </c>
      <c r="D113" s="2" t="s">
        <v>269</v>
      </c>
      <c r="E113" s="39" t="s">
        <v>21</v>
      </c>
      <c r="F113" s="62">
        <v>21000</v>
      </c>
      <c r="G113" s="59" t="s">
        <v>450</v>
      </c>
      <c r="H113" s="2"/>
      <c r="I113" s="2"/>
      <c r="J113" s="24"/>
    </row>
    <row r="114" spans="2:10" x14ac:dyDescent="0.35">
      <c r="B114" s="23" t="s">
        <v>451</v>
      </c>
      <c r="C114" s="2" t="s">
        <v>452</v>
      </c>
      <c r="D114" s="2" t="s">
        <v>269</v>
      </c>
      <c r="E114" s="39" t="s">
        <v>21</v>
      </c>
      <c r="F114" s="62">
        <v>1440</v>
      </c>
      <c r="G114" s="59" t="s">
        <v>450</v>
      </c>
      <c r="H114" s="2"/>
      <c r="I114" s="2"/>
      <c r="J114" s="24"/>
    </row>
    <row r="115" spans="2:10" x14ac:dyDescent="0.35">
      <c r="B115" s="23" t="s">
        <v>52</v>
      </c>
      <c r="C115" s="2" t="s">
        <v>81</v>
      </c>
      <c r="D115" s="65" t="s">
        <v>77</v>
      </c>
      <c r="E115" s="39" t="s">
        <v>21</v>
      </c>
      <c r="F115" s="62">
        <v>0</v>
      </c>
      <c r="G115" s="59" t="s">
        <v>97</v>
      </c>
      <c r="H115" s="2"/>
      <c r="I115" s="2"/>
      <c r="J115" s="24"/>
    </row>
    <row r="116" spans="2:10" x14ac:dyDescent="0.35">
      <c r="B116" s="23" t="s">
        <v>52</v>
      </c>
      <c r="C116" s="2" t="s">
        <v>82</v>
      </c>
      <c r="D116" s="65" t="s">
        <v>77</v>
      </c>
      <c r="E116" s="39" t="s">
        <v>21</v>
      </c>
      <c r="F116" s="62">
        <v>0</v>
      </c>
      <c r="G116" s="59" t="s">
        <v>97</v>
      </c>
      <c r="H116" s="2"/>
      <c r="I116" s="2"/>
      <c r="J116" s="24"/>
    </row>
    <row r="117" spans="2:10" x14ac:dyDescent="0.35">
      <c r="B117" s="23" t="s">
        <v>65</v>
      </c>
      <c r="C117" s="2" t="s">
        <v>78</v>
      </c>
      <c r="D117" s="65" t="s">
        <v>77</v>
      </c>
      <c r="E117" s="39" t="s">
        <v>21</v>
      </c>
      <c r="F117" s="62">
        <v>21000</v>
      </c>
      <c r="G117" s="59" t="s">
        <v>87</v>
      </c>
      <c r="H117" s="2"/>
      <c r="I117" s="2"/>
      <c r="J117" s="24"/>
    </row>
    <row r="118" spans="2:10" x14ac:dyDescent="0.35">
      <c r="B118" s="23" t="s">
        <v>65</v>
      </c>
      <c r="C118" s="2" t="s">
        <v>62</v>
      </c>
      <c r="D118" s="65" t="s">
        <v>77</v>
      </c>
      <c r="E118" s="39" t="s">
        <v>21</v>
      </c>
      <c r="F118" s="62">
        <v>14000</v>
      </c>
      <c r="G118" s="59" t="s">
        <v>87</v>
      </c>
      <c r="H118" s="2"/>
      <c r="I118" s="2"/>
      <c r="J118" s="24"/>
    </row>
    <row r="119" spans="2:10" x14ac:dyDescent="0.35">
      <c r="B119" s="23" t="s">
        <v>65</v>
      </c>
      <c r="C119" s="2" t="s">
        <v>79</v>
      </c>
      <c r="D119" s="65" t="s">
        <v>77</v>
      </c>
      <c r="E119" s="39" t="s">
        <v>21</v>
      </c>
      <c r="F119" s="62">
        <v>5000</v>
      </c>
      <c r="G119" s="59" t="s">
        <v>87</v>
      </c>
      <c r="H119" s="2"/>
      <c r="I119" s="2"/>
      <c r="J119" s="24"/>
    </row>
    <row r="120" spans="2:10" x14ac:dyDescent="0.35">
      <c r="B120" s="23" t="s">
        <v>65</v>
      </c>
      <c r="C120" s="2" t="s">
        <v>80</v>
      </c>
      <c r="D120" s="65" t="s">
        <v>77</v>
      </c>
      <c r="E120" s="39" t="s">
        <v>21</v>
      </c>
      <c r="F120" s="62">
        <v>18000</v>
      </c>
      <c r="G120" s="59" t="s">
        <v>87</v>
      </c>
      <c r="H120" s="2"/>
      <c r="I120" s="2"/>
      <c r="J120" s="24"/>
    </row>
    <row r="121" spans="2:10" x14ac:dyDescent="0.35">
      <c r="B121" s="23" t="s">
        <v>72</v>
      </c>
      <c r="C121" s="2" t="s">
        <v>29</v>
      </c>
      <c r="D121" s="65" t="s">
        <v>77</v>
      </c>
      <c r="E121" s="39" t="s">
        <v>21</v>
      </c>
      <c r="F121" s="62">
        <v>10581</v>
      </c>
      <c r="G121" s="59" t="s">
        <v>94</v>
      </c>
      <c r="H121" s="2"/>
      <c r="I121" s="2"/>
      <c r="J121" s="24"/>
    </row>
    <row r="122" spans="2:10" x14ac:dyDescent="0.35">
      <c r="B122" s="23" t="s">
        <v>73</v>
      </c>
      <c r="C122" s="2" t="s">
        <v>83</v>
      </c>
      <c r="D122" s="65" t="s">
        <v>77</v>
      </c>
      <c r="E122" s="39" t="s">
        <v>21</v>
      </c>
      <c r="F122" s="62">
        <v>3500</v>
      </c>
      <c r="G122" s="2" t="s">
        <v>95</v>
      </c>
      <c r="H122" s="2"/>
      <c r="I122" s="2"/>
      <c r="J122" s="24"/>
    </row>
    <row r="123" spans="2:10" x14ac:dyDescent="0.35">
      <c r="B123" s="23" t="s">
        <v>73</v>
      </c>
      <c r="C123" s="2" t="s">
        <v>84</v>
      </c>
      <c r="D123" s="65" t="s">
        <v>77</v>
      </c>
      <c r="E123" s="39" t="s">
        <v>21</v>
      </c>
      <c r="F123" s="62">
        <v>2000</v>
      </c>
      <c r="G123" s="2" t="s">
        <v>95</v>
      </c>
      <c r="H123" s="2"/>
      <c r="I123" s="2"/>
      <c r="J123" s="24"/>
    </row>
    <row r="124" spans="2:10" x14ac:dyDescent="0.35">
      <c r="B124" s="23" t="s">
        <v>73</v>
      </c>
      <c r="C124" s="2" t="s">
        <v>85</v>
      </c>
      <c r="D124" s="65" t="s">
        <v>77</v>
      </c>
      <c r="E124" s="39" t="s">
        <v>21</v>
      </c>
      <c r="F124" s="62">
        <v>2400</v>
      </c>
      <c r="G124" s="2" t="s">
        <v>95</v>
      </c>
      <c r="H124" s="2"/>
      <c r="I124" s="2"/>
      <c r="J124" s="24"/>
    </row>
    <row r="125" spans="2:10" x14ac:dyDescent="0.35">
      <c r="B125" s="66" t="s">
        <v>1</v>
      </c>
      <c r="C125" s="67"/>
      <c r="D125" s="72" t="s">
        <v>454</v>
      </c>
      <c r="E125" s="68" t="s">
        <v>42</v>
      </c>
      <c r="F125" s="69">
        <f>F94*F11*F65</f>
        <v>12191.666666666666</v>
      </c>
      <c r="G125" s="70" t="s">
        <v>50</v>
      </c>
      <c r="H125" s="67"/>
      <c r="I125" s="67"/>
      <c r="J125" s="71"/>
    </row>
    <row r="126" spans="2:10" x14ac:dyDescent="0.35">
      <c r="B126" s="23" t="s">
        <v>1</v>
      </c>
      <c r="C126" s="2"/>
      <c r="D126" s="65" t="s">
        <v>525</v>
      </c>
      <c r="E126" s="39" t="s">
        <v>42</v>
      </c>
      <c r="F126" s="63">
        <f>F95*F11*F65</f>
        <v>18940.624999999996</v>
      </c>
      <c r="G126" s="59" t="s">
        <v>50</v>
      </c>
      <c r="H126" s="2"/>
      <c r="I126" s="2"/>
      <c r="J126" s="24"/>
    </row>
    <row r="127" spans="2:10" x14ac:dyDescent="0.35">
      <c r="B127" s="23" t="s">
        <v>1</v>
      </c>
      <c r="C127" s="2"/>
      <c r="D127" s="65" t="s">
        <v>269</v>
      </c>
      <c r="E127" s="39" t="s">
        <v>42</v>
      </c>
      <c r="F127" s="63">
        <f>SUM(F96:F114)*F65</f>
        <v>36795.041666666664</v>
      </c>
      <c r="G127" s="59" t="s">
        <v>50</v>
      </c>
      <c r="H127" s="2"/>
      <c r="I127" s="2"/>
      <c r="J127" s="24"/>
    </row>
    <row r="128" spans="2:10" x14ac:dyDescent="0.35">
      <c r="B128" s="60" t="s">
        <v>1</v>
      </c>
      <c r="C128" s="27"/>
      <c r="D128" s="73" t="s">
        <v>77</v>
      </c>
      <c r="E128" s="48" t="s">
        <v>42</v>
      </c>
      <c r="F128" s="64">
        <f>SUM(F115:F124)*F65</f>
        <v>3186.708333333333</v>
      </c>
      <c r="G128" s="61" t="s">
        <v>50</v>
      </c>
      <c r="H128" s="27"/>
      <c r="I128" s="27"/>
      <c r="J128" s="28"/>
    </row>
    <row r="130" spans="2:16" x14ac:dyDescent="0.35">
      <c r="B130" s="29" t="s">
        <v>508</v>
      </c>
      <c r="C130" s="30"/>
      <c r="D130" s="42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1"/>
    </row>
    <row r="131" spans="2:16" x14ac:dyDescent="0.35">
      <c r="B131" s="40" t="s">
        <v>5</v>
      </c>
      <c r="C131" s="32" t="s">
        <v>253</v>
      </c>
      <c r="D131" s="43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/>
    </row>
    <row r="132" spans="2:16" x14ac:dyDescent="0.35">
      <c r="B132" s="40" t="s">
        <v>6</v>
      </c>
      <c r="C132" s="99" t="s">
        <v>251</v>
      </c>
      <c r="D132" s="43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/>
    </row>
    <row r="133" spans="2:16" x14ac:dyDescent="0.35">
      <c r="B133" s="40"/>
      <c r="C133" s="99" t="s">
        <v>252</v>
      </c>
      <c r="D133" s="43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/>
    </row>
    <row r="134" spans="2:16" x14ac:dyDescent="0.35">
      <c r="B134" s="40" t="s">
        <v>7</v>
      </c>
      <c r="C134" s="32" t="s">
        <v>29</v>
      </c>
      <c r="D134" s="43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/>
    </row>
    <row r="135" spans="2:16" x14ac:dyDescent="0.35">
      <c r="B135" s="2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4"/>
    </row>
    <row r="136" spans="2:16" x14ac:dyDescent="0.35">
      <c r="B136" s="36" t="s">
        <v>111</v>
      </c>
      <c r="C136" s="78" t="s">
        <v>258</v>
      </c>
      <c r="D136" s="78" t="s">
        <v>258</v>
      </c>
      <c r="E136" s="78" t="s">
        <v>258</v>
      </c>
      <c r="F136" s="78" t="s">
        <v>258</v>
      </c>
      <c r="G136" s="78" t="s">
        <v>260</v>
      </c>
      <c r="H136" s="78" t="s">
        <v>260</v>
      </c>
      <c r="I136" s="78" t="s">
        <v>260</v>
      </c>
      <c r="J136" s="78" t="s">
        <v>260</v>
      </c>
      <c r="K136" s="78" t="s">
        <v>262</v>
      </c>
      <c r="L136" s="78" t="s">
        <v>262</v>
      </c>
      <c r="M136" s="78" t="s">
        <v>262</v>
      </c>
      <c r="N136" s="78" t="s">
        <v>262</v>
      </c>
      <c r="O136" s="81" t="s">
        <v>262</v>
      </c>
    </row>
    <row r="137" spans="2:16" x14ac:dyDescent="0.35">
      <c r="B137" s="36" t="s">
        <v>32</v>
      </c>
      <c r="C137" s="78" t="s">
        <v>259</v>
      </c>
      <c r="D137" s="78" t="s">
        <v>259</v>
      </c>
      <c r="E137" s="78" t="s">
        <v>259</v>
      </c>
      <c r="F137" s="78" t="s">
        <v>259</v>
      </c>
      <c r="G137" s="78" t="s">
        <v>261</v>
      </c>
      <c r="H137" s="78" t="s">
        <v>261</v>
      </c>
      <c r="I137" s="78" t="s">
        <v>261</v>
      </c>
      <c r="J137" s="78" t="s">
        <v>261</v>
      </c>
      <c r="K137" s="78" t="s">
        <v>278</v>
      </c>
      <c r="L137" s="78" t="s">
        <v>278</v>
      </c>
      <c r="M137" s="78" t="s">
        <v>278</v>
      </c>
      <c r="N137" s="78" t="s">
        <v>278</v>
      </c>
      <c r="O137" s="81" t="s">
        <v>278</v>
      </c>
    </row>
    <row r="138" spans="2:16" x14ac:dyDescent="0.35">
      <c r="B138" s="79" t="s">
        <v>110</v>
      </c>
      <c r="C138" s="80" t="s">
        <v>254</v>
      </c>
      <c r="D138" s="80" t="s">
        <v>255</v>
      </c>
      <c r="E138" s="80" t="s">
        <v>256</v>
      </c>
      <c r="F138" s="80" t="s">
        <v>257</v>
      </c>
      <c r="G138" s="80" t="s">
        <v>254</v>
      </c>
      <c r="H138" s="80" t="s">
        <v>255</v>
      </c>
      <c r="I138" s="80" t="s">
        <v>256</v>
      </c>
      <c r="J138" s="80" t="s">
        <v>257</v>
      </c>
      <c r="K138" s="80" t="s">
        <v>254</v>
      </c>
      <c r="L138" s="80" t="s">
        <v>255</v>
      </c>
      <c r="M138" s="80" t="s">
        <v>256</v>
      </c>
      <c r="N138" s="80" t="s">
        <v>257</v>
      </c>
      <c r="O138" s="82" t="s">
        <v>264</v>
      </c>
    </row>
    <row r="139" spans="2:16" x14ac:dyDescent="0.35">
      <c r="B139" s="25">
        <v>2015</v>
      </c>
      <c r="C139" s="34">
        <f>INDEX(AEO2014_NEWE_Cons!$B$11:$AE$11,MATCH($B139,AEO2014_NEWE_Cons!$B$4:$AE$4,0))*10^9</f>
        <v>220007000</v>
      </c>
      <c r="D139" s="34">
        <f>INDEX(AEO2014_NEWE_Cons!$B$25:$AE$25,MATCH($B139,AEO2014_NEWE_Cons!$B$4:$AE$4,0))*10^9</f>
        <v>168415000</v>
      </c>
      <c r="E139" s="34">
        <f>INDEX(AEO2014_NEWE_Cons!$B$41:$AE$41,MATCH($B139,AEO2014_NEWE_Cons!$B$4:$AE$4,0))*10^9</f>
        <v>140746000</v>
      </c>
      <c r="F139" s="34">
        <f>INDEX(AEO2014_NEWE_Cons!$B$67:$AE$67,MATCH($B139,AEO2014_NEWE_Cons!$B$4:$AE$4,0))*10^9</f>
        <v>13499000</v>
      </c>
      <c r="G139" s="103">
        <f>INDEX(AEO2014_NEWE_CO2!$B$8:$AE$8,MATCH($B139,AEO2014_NEWE_CO2!$B$4:$AE$4,0))</f>
        <v>11.672824</v>
      </c>
      <c r="H139" s="103">
        <f>INDEX(AEO2014_NEWE_CO2!$B$14:$AE$14,MATCH($B139,AEO2014_NEWE_CO2!$B$4:$AE$4,0))</f>
        <v>8.9355170000000008</v>
      </c>
      <c r="I139" s="103">
        <f>INDEX(AEO2014_NEWE_CO2!$B$21:$AE$21,MATCH($B139,AEO2014_NEWE_CO2!$B$4:$AE$4,0))</f>
        <v>7.0852019999999998</v>
      </c>
      <c r="J139" s="103">
        <f>INDEX(AEO2014_NEWE_CO2!$B$28:$AE$28,MATCH($B139,AEO2014_NEWE_CO2!$B$4:$AE$4,0))</f>
        <v>0.84343599999999996</v>
      </c>
      <c r="K139" s="100">
        <f>G139*10^6/C139</f>
        <v>5.3056602744458128E-2</v>
      </c>
      <c r="L139" s="100">
        <f t="shared" ref="L139:L154" si="1">H139*10^6/D139</f>
        <v>5.3056538906866964E-2</v>
      </c>
      <c r="M139" s="100">
        <f t="shared" ref="M139:M154" si="2">I139*10^6/E139</f>
        <v>5.0340343597686611E-2</v>
      </c>
      <c r="N139" s="100">
        <f t="shared" ref="N139:N154" si="3">J139*10^6/F139</f>
        <v>6.2481368990295577E-2</v>
      </c>
      <c r="O139" s="104">
        <f>SUMPRODUCT(K139:N139,C139:F139)/SUM(C139:F139)</f>
        <v>5.2586538337507163E-2</v>
      </c>
      <c r="P139" s="250"/>
    </row>
    <row r="140" spans="2:16" x14ac:dyDescent="0.35">
      <c r="B140" s="25">
        <v>2016</v>
      </c>
      <c r="C140" s="34">
        <f>INDEX(AEO2014_NEWE_Cons!$B$11:$AE$11,MATCH($B140,AEO2014_NEWE_Cons!$B$4:$AE$4,0))*10^9</f>
        <v>221244000</v>
      </c>
      <c r="D140" s="34">
        <f>INDEX(AEO2014_NEWE_Cons!$B$25:$AE$25,MATCH($B140,AEO2014_NEWE_Cons!$B$4:$AE$4,0))*10^9</f>
        <v>169983000</v>
      </c>
      <c r="E140" s="34">
        <f>INDEX(AEO2014_NEWE_Cons!$B$41:$AE$41,MATCH($B140,AEO2014_NEWE_Cons!$B$4:$AE$4,0))*10^9</f>
        <v>145026000</v>
      </c>
      <c r="F140" s="34">
        <f>INDEX(AEO2014_NEWE_Cons!$B$67:$AE$67,MATCH($B140,AEO2014_NEWE_Cons!$B$4:$AE$4,0))*10^9</f>
        <v>13029000</v>
      </c>
      <c r="G140" s="103">
        <f>INDEX(AEO2014_NEWE_CO2!$B$8:$AE$8,MATCH($B140,AEO2014_NEWE_CO2!$B$4:$AE$4,0))</f>
        <v>11.738455</v>
      </c>
      <c r="H140" s="103">
        <f>INDEX(AEO2014_NEWE_CO2!$B$14:$AE$14,MATCH($B140,AEO2014_NEWE_CO2!$B$4:$AE$4,0))</f>
        <v>9.0187139999999992</v>
      </c>
      <c r="I140" s="103">
        <f>INDEX(AEO2014_NEWE_CO2!$B$21:$AE$21,MATCH($B140,AEO2014_NEWE_CO2!$B$4:$AE$4,0))</f>
        <v>7.3015780000000001</v>
      </c>
      <c r="J140" s="103">
        <f>INDEX(AEO2014_NEWE_CO2!$B$28:$AE$28,MATCH($B140,AEO2014_NEWE_CO2!$B$4:$AE$4,0))</f>
        <v>0.82702600000000004</v>
      </c>
      <c r="K140" s="100">
        <f t="shared" ref="K140:K154" si="4">G140*10^6/C140</f>
        <v>5.3056602664931028E-2</v>
      </c>
      <c r="L140" s="100">
        <f t="shared" si="1"/>
        <v>5.3056564479977412E-2</v>
      </c>
      <c r="M140" s="100">
        <f t="shared" si="2"/>
        <v>5.0346682663798215E-2</v>
      </c>
      <c r="N140" s="100">
        <f t="shared" si="3"/>
        <v>6.3475784787781098E-2</v>
      </c>
      <c r="O140" s="104">
        <f t="shared" ref="O140:O154" si="5">SUMPRODUCT(K140:N140,C140:F140)/SUM(C140:F140)</f>
        <v>5.2588238828142918E-2</v>
      </c>
    </row>
    <row r="141" spans="2:16" x14ac:dyDescent="0.35">
      <c r="B141" s="25">
        <v>2017</v>
      </c>
      <c r="C141" s="34">
        <f>INDEX(AEO2014_NEWE_Cons!$B$11:$AE$11,MATCH($B141,AEO2014_NEWE_Cons!$B$4:$AE$4,0))*10^9</f>
        <v>222288000</v>
      </c>
      <c r="D141" s="34">
        <f>INDEX(AEO2014_NEWE_Cons!$B$25:$AE$25,MATCH($B141,AEO2014_NEWE_Cons!$B$4:$AE$4,0))*10^9</f>
        <v>171583000</v>
      </c>
      <c r="E141" s="34">
        <f>INDEX(AEO2014_NEWE_Cons!$B$41:$AE$41,MATCH($B141,AEO2014_NEWE_Cons!$B$4:$AE$4,0))*10^9</f>
        <v>147208000</v>
      </c>
      <c r="F141" s="34">
        <f>INDEX(AEO2014_NEWE_Cons!$B$67:$AE$67,MATCH($B141,AEO2014_NEWE_Cons!$B$4:$AE$4,0))*10^9</f>
        <v>13205000</v>
      </c>
      <c r="G141" s="103">
        <f>INDEX(AEO2014_NEWE_CO2!$B$8:$AE$8,MATCH($B141,AEO2014_NEWE_CO2!$B$4:$AE$4,0))</f>
        <v>11.793839</v>
      </c>
      <c r="H141" s="103">
        <f>INDEX(AEO2014_NEWE_CO2!$B$14:$AE$14,MATCH($B141,AEO2014_NEWE_CO2!$B$4:$AE$4,0))</f>
        <v>9.1036190000000001</v>
      </c>
      <c r="I141" s="103">
        <f>INDEX(AEO2014_NEWE_CO2!$B$21:$AE$21,MATCH($B141,AEO2014_NEWE_CO2!$B$4:$AE$4,0))</f>
        <v>7.408582</v>
      </c>
      <c r="J141" s="103">
        <f>INDEX(AEO2014_NEWE_CO2!$B$28:$AE$28,MATCH($B141,AEO2014_NEWE_CO2!$B$4:$AE$4,0))</f>
        <v>0.843225</v>
      </c>
      <c r="K141" s="100">
        <f t="shared" si="4"/>
        <v>5.3056570755056501E-2</v>
      </c>
      <c r="L141" s="100">
        <f t="shared" si="1"/>
        <v>5.3056648968720678E-2</v>
      </c>
      <c r="M141" s="100">
        <f t="shared" si="2"/>
        <v>5.0327305581218409E-2</v>
      </c>
      <c r="N141" s="100">
        <f t="shared" si="3"/>
        <v>6.385649375236653E-2</v>
      </c>
      <c r="O141" s="104">
        <f t="shared" si="5"/>
        <v>5.2589042801163305E-2</v>
      </c>
    </row>
    <row r="142" spans="2:16" x14ac:dyDescent="0.35">
      <c r="B142" s="25">
        <v>2018</v>
      </c>
      <c r="C142" s="34">
        <f>INDEX(AEO2014_NEWE_Cons!$B$11:$AE$11,MATCH($B142,AEO2014_NEWE_Cons!$B$4:$AE$4,0))*10^9</f>
        <v>222833000</v>
      </c>
      <c r="D142" s="34">
        <f>INDEX(AEO2014_NEWE_Cons!$B$25:$AE$25,MATCH($B142,AEO2014_NEWE_Cons!$B$4:$AE$4,0))*10^9</f>
        <v>172594000</v>
      </c>
      <c r="E142" s="34">
        <f>INDEX(AEO2014_NEWE_Cons!$B$41:$AE$41,MATCH($B142,AEO2014_NEWE_Cons!$B$4:$AE$4,0))*10^9</f>
        <v>148239000</v>
      </c>
      <c r="F142" s="34">
        <f>INDEX(AEO2014_NEWE_Cons!$B$67:$AE$67,MATCH($B142,AEO2014_NEWE_Cons!$B$4:$AE$4,0))*10^9</f>
        <v>13253000</v>
      </c>
      <c r="G142" s="103">
        <f>INDEX(AEO2014_NEWE_CO2!$B$8:$AE$8,MATCH($B142,AEO2014_NEWE_CO2!$B$4:$AE$4,0))</f>
        <v>11.822754</v>
      </c>
      <c r="H142" s="103">
        <f>INDEX(AEO2014_NEWE_CO2!$B$14:$AE$14,MATCH($B142,AEO2014_NEWE_CO2!$B$4:$AE$4,0))</f>
        <v>9.1572479999999992</v>
      </c>
      <c r="I142" s="103">
        <f>INDEX(AEO2014_NEWE_CO2!$B$21:$AE$21,MATCH($B142,AEO2014_NEWE_CO2!$B$4:$AE$4,0))</f>
        <v>7.457249</v>
      </c>
      <c r="J142" s="103">
        <f>INDEX(AEO2014_NEWE_CO2!$B$28:$AE$28,MATCH($B142,AEO2014_NEWE_CO2!$B$4:$AE$4,0))</f>
        <v>0.85287000000000002</v>
      </c>
      <c r="K142" s="100">
        <f t="shared" si="4"/>
        <v>5.3056567025530327E-2</v>
      </c>
      <c r="L142" s="100">
        <f t="shared" si="1"/>
        <v>5.3056583658759864E-2</v>
      </c>
      <c r="M142" s="100">
        <f t="shared" si="2"/>
        <v>5.0305580852542178E-2</v>
      </c>
      <c r="N142" s="100">
        <f t="shared" si="3"/>
        <v>6.4352976684524263E-2</v>
      </c>
      <c r="O142" s="104">
        <f t="shared" si="5"/>
        <v>5.259314370671498E-2</v>
      </c>
    </row>
    <row r="143" spans="2:16" x14ac:dyDescent="0.35">
      <c r="B143" s="25">
        <v>2019</v>
      </c>
      <c r="C143" s="34">
        <f>INDEX(AEO2014_NEWE_Cons!$B$11:$AE$11,MATCH($B143,AEO2014_NEWE_Cons!$B$4:$AE$4,0))*10^9</f>
        <v>223305000</v>
      </c>
      <c r="D143" s="34">
        <f>INDEX(AEO2014_NEWE_Cons!$B$25:$AE$25,MATCH($B143,AEO2014_NEWE_Cons!$B$4:$AE$4,0))*10^9</f>
        <v>173680000</v>
      </c>
      <c r="E143" s="34">
        <f>INDEX(AEO2014_NEWE_Cons!$B$41:$AE$41,MATCH($B143,AEO2014_NEWE_Cons!$B$4:$AE$4,0))*10^9</f>
        <v>150121000</v>
      </c>
      <c r="F143" s="34">
        <f>INDEX(AEO2014_NEWE_Cons!$B$67:$AE$67,MATCH($B143,AEO2014_NEWE_Cons!$B$4:$AE$4,0))*10^9</f>
        <v>13270000</v>
      </c>
      <c r="G143" s="103">
        <f>INDEX(AEO2014_NEWE_CO2!$B$8:$AE$8,MATCH($B143,AEO2014_NEWE_CO2!$B$4:$AE$4,0))</f>
        <v>11.847835999999999</v>
      </c>
      <c r="H143" s="103">
        <f>INDEX(AEO2014_NEWE_CO2!$B$14:$AE$14,MATCH($B143,AEO2014_NEWE_CO2!$B$4:$AE$4,0))</f>
        <v>9.2148850000000007</v>
      </c>
      <c r="I143" s="103">
        <f>INDEX(AEO2014_NEWE_CO2!$B$21:$AE$21,MATCH($B143,AEO2014_NEWE_CO2!$B$4:$AE$4,0))</f>
        <v>7.5494240000000001</v>
      </c>
      <c r="J143" s="103">
        <f>INDEX(AEO2014_NEWE_CO2!$B$28:$AE$28,MATCH($B143,AEO2014_NEWE_CO2!$B$4:$AE$4,0))</f>
        <v>0.861174</v>
      </c>
      <c r="K143" s="100">
        <f t="shared" si="4"/>
        <v>5.3056743019636816E-2</v>
      </c>
      <c r="L143" s="100">
        <f t="shared" si="1"/>
        <v>5.3056684707508059E-2</v>
      </c>
      <c r="M143" s="100">
        <f t="shared" si="2"/>
        <v>5.028892693227463E-2</v>
      </c>
      <c r="N143" s="100">
        <f t="shared" si="3"/>
        <v>6.4896307460437078E-2</v>
      </c>
      <c r="O143" s="104">
        <f t="shared" si="5"/>
        <v>5.259561258869045E-2</v>
      </c>
    </row>
    <row r="144" spans="2:16" x14ac:dyDescent="0.35">
      <c r="B144" s="25">
        <v>2020</v>
      </c>
      <c r="C144" s="34">
        <f>INDEX(AEO2014_NEWE_Cons!$B$11:$AE$11,MATCH($B144,AEO2014_NEWE_Cons!$B$4:$AE$4,0))*10^9</f>
        <v>223904000</v>
      </c>
      <c r="D144" s="34">
        <f>INDEX(AEO2014_NEWE_Cons!$B$25:$AE$25,MATCH($B144,AEO2014_NEWE_Cons!$B$4:$AE$4,0))*10^9</f>
        <v>174803000</v>
      </c>
      <c r="E144" s="34">
        <f>INDEX(AEO2014_NEWE_Cons!$B$41:$AE$41,MATCH($B144,AEO2014_NEWE_Cons!$B$4:$AE$4,0))*10^9</f>
        <v>152635000</v>
      </c>
      <c r="F144" s="34">
        <f>INDEX(AEO2014_NEWE_Cons!$B$67:$AE$67,MATCH($B144,AEO2014_NEWE_Cons!$B$4:$AE$4,0))*10^9</f>
        <v>13213000</v>
      </c>
      <c r="G144" s="103">
        <f>INDEX(AEO2014_NEWE_CO2!$B$8:$AE$8,MATCH($B144,AEO2014_NEWE_CO2!$B$4:$AE$4,0))</f>
        <v>11.879606000000001</v>
      </c>
      <c r="H144" s="103">
        <f>INDEX(AEO2014_NEWE_CO2!$B$14:$AE$14,MATCH($B144,AEO2014_NEWE_CO2!$B$4:$AE$4,0))</f>
        <v>9.2744490000000006</v>
      </c>
      <c r="I144" s="103">
        <f>INDEX(AEO2014_NEWE_CO2!$B$21:$AE$21,MATCH($B144,AEO2014_NEWE_CO2!$B$4:$AE$4,0))</f>
        <v>7.6756359999999999</v>
      </c>
      <c r="J144" s="103">
        <f>INDEX(AEO2014_NEWE_CO2!$B$28:$AE$28,MATCH($B144,AEO2014_NEWE_CO2!$B$4:$AE$4,0))</f>
        <v>0.866035</v>
      </c>
      <c r="K144" s="100">
        <f t="shared" si="4"/>
        <v>5.3056693940260115E-2</v>
      </c>
      <c r="L144" s="100">
        <f t="shared" si="1"/>
        <v>5.3056577976350522E-2</v>
      </c>
      <c r="M144" s="100">
        <f t="shared" si="2"/>
        <v>5.0287522521046943E-2</v>
      </c>
      <c r="N144" s="100">
        <f t="shared" si="3"/>
        <v>6.554416105350791E-2</v>
      </c>
      <c r="O144" s="104">
        <f t="shared" si="5"/>
        <v>5.2600235583778375E-2</v>
      </c>
    </row>
    <row r="145" spans="2:15" x14ac:dyDescent="0.35">
      <c r="B145" s="25">
        <v>2021</v>
      </c>
      <c r="C145" s="34">
        <f>INDEX(AEO2014_NEWE_Cons!$B$11:$AE$11,MATCH($B145,AEO2014_NEWE_Cons!$B$4:$AE$4,0))*10^9</f>
        <v>224200000</v>
      </c>
      <c r="D145" s="34">
        <f>INDEX(AEO2014_NEWE_Cons!$B$25:$AE$25,MATCH($B145,AEO2014_NEWE_Cons!$B$4:$AE$4,0))*10^9</f>
        <v>175546000</v>
      </c>
      <c r="E145" s="34">
        <f>INDEX(AEO2014_NEWE_Cons!$B$41:$AE$41,MATCH($B145,AEO2014_NEWE_Cons!$B$4:$AE$4,0))*10^9</f>
        <v>154698000</v>
      </c>
      <c r="F145" s="34">
        <f>INDEX(AEO2014_NEWE_Cons!$B$67:$AE$67,MATCH($B145,AEO2014_NEWE_Cons!$B$4:$AE$4,0))*10^9</f>
        <v>13174000</v>
      </c>
      <c r="G145" s="103">
        <f>INDEX(AEO2014_NEWE_CO2!$B$8:$AE$8,MATCH($B145,AEO2014_NEWE_CO2!$B$4:$AE$4,0))</f>
        <v>11.895308</v>
      </c>
      <c r="H145" s="103">
        <f>INDEX(AEO2014_NEWE_CO2!$B$14:$AE$14,MATCH($B145,AEO2014_NEWE_CO2!$B$4:$AE$4,0))</f>
        <v>9.3138909999999999</v>
      </c>
      <c r="I145" s="103">
        <f>INDEX(AEO2014_NEWE_CO2!$B$21:$AE$21,MATCH($B145,AEO2014_NEWE_CO2!$B$4:$AE$4,0))</f>
        <v>7.7790229999999996</v>
      </c>
      <c r="J145" s="103">
        <f>INDEX(AEO2014_NEWE_CO2!$B$28:$AE$28,MATCH($B145,AEO2014_NEWE_CO2!$B$4:$AE$4,0))</f>
        <v>0.87413300000000005</v>
      </c>
      <c r="K145" s="100">
        <f t="shared" si="4"/>
        <v>5.3056681534344334E-2</v>
      </c>
      <c r="L145" s="100">
        <f t="shared" si="1"/>
        <v>5.3056697389857931E-2</v>
      </c>
      <c r="M145" s="100">
        <f t="shared" si="2"/>
        <v>5.0285220235555726E-2</v>
      </c>
      <c r="N145" s="100">
        <f t="shared" si="3"/>
        <v>6.6352892060118421E-2</v>
      </c>
      <c r="O145" s="104">
        <f t="shared" si="5"/>
        <v>5.260995070628486E-2</v>
      </c>
    </row>
    <row r="146" spans="2:15" x14ac:dyDescent="0.35">
      <c r="B146" s="25">
        <v>2022</v>
      </c>
      <c r="C146" s="34">
        <f>INDEX(AEO2014_NEWE_Cons!$B$11:$AE$11,MATCH($B146,AEO2014_NEWE_Cons!$B$4:$AE$4,0))*10^9</f>
        <v>224366000</v>
      </c>
      <c r="D146" s="34">
        <f>INDEX(AEO2014_NEWE_Cons!$B$25:$AE$25,MATCH($B146,AEO2014_NEWE_Cons!$B$4:$AE$4,0))*10^9</f>
        <v>176303000</v>
      </c>
      <c r="E146" s="34">
        <f>INDEX(AEO2014_NEWE_Cons!$B$41:$AE$41,MATCH($B146,AEO2014_NEWE_Cons!$B$4:$AE$4,0))*10^9</f>
        <v>157214000</v>
      </c>
      <c r="F146" s="34">
        <f>INDEX(AEO2014_NEWE_Cons!$B$67:$AE$67,MATCH($B146,AEO2014_NEWE_Cons!$B$4:$AE$4,0))*10^9</f>
        <v>13079000</v>
      </c>
      <c r="G146" s="103">
        <f>INDEX(AEO2014_NEWE_CO2!$B$8:$AE$8,MATCH($B146,AEO2014_NEWE_CO2!$B$4:$AE$4,0))</f>
        <v>11.904087000000001</v>
      </c>
      <c r="H146" s="103">
        <f>INDEX(AEO2014_NEWE_CO2!$B$14:$AE$14,MATCH($B146,AEO2014_NEWE_CO2!$B$4:$AE$4,0))</f>
        <v>9.3540720000000004</v>
      </c>
      <c r="I146" s="103">
        <f>INDEX(AEO2014_NEWE_CO2!$B$21:$AE$21,MATCH($B146,AEO2014_NEWE_CO2!$B$4:$AE$4,0))</f>
        <v>7.9072209999999998</v>
      </c>
      <c r="J146" s="103">
        <f>INDEX(AEO2014_NEWE_CO2!$B$28:$AE$28,MATCH($B146,AEO2014_NEWE_CO2!$B$4:$AE$4,0))</f>
        <v>0.88097899999999996</v>
      </c>
      <c r="K146" s="100">
        <f t="shared" si="4"/>
        <v>5.3056554914737528E-2</v>
      </c>
      <c r="L146" s="100">
        <f t="shared" si="1"/>
        <v>5.3056794268957423E-2</v>
      </c>
      <c r="M146" s="100">
        <f t="shared" si="2"/>
        <v>5.0295908761306247E-2</v>
      </c>
      <c r="N146" s="100">
        <f t="shared" si="3"/>
        <v>6.7358284272497904E-2</v>
      </c>
      <c r="O146" s="104">
        <f t="shared" si="5"/>
        <v>5.2624095824240491E-2</v>
      </c>
    </row>
    <row r="147" spans="2:15" x14ac:dyDescent="0.35">
      <c r="B147" s="25">
        <v>2023</v>
      </c>
      <c r="C147" s="34">
        <f>INDEX(AEO2014_NEWE_Cons!$B$11:$AE$11,MATCH($B147,AEO2014_NEWE_Cons!$B$4:$AE$4,0))*10^9</f>
        <v>224521000</v>
      </c>
      <c r="D147" s="34">
        <f>INDEX(AEO2014_NEWE_Cons!$B$25:$AE$25,MATCH($B147,AEO2014_NEWE_Cons!$B$4:$AE$4,0))*10^9</f>
        <v>177184000</v>
      </c>
      <c r="E147" s="34">
        <f>INDEX(AEO2014_NEWE_Cons!$B$41:$AE$41,MATCH($B147,AEO2014_NEWE_Cons!$B$4:$AE$4,0))*10^9</f>
        <v>159636000</v>
      </c>
      <c r="F147" s="34">
        <f>INDEX(AEO2014_NEWE_Cons!$B$67:$AE$67,MATCH($B147,AEO2014_NEWE_Cons!$B$4:$AE$4,0))*10^9</f>
        <v>13018000</v>
      </c>
      <c r="G147" s="103">
        <f>INDEX(AEO2014_NEWE_CO2!$B$8:$AE$8,MATCH($B147,AEO2014_NEWE_CO2!$B$4:$AE$4,0))</f>
        <v>11.912347</v>
      </c>
      <c r="H147" s="103">
        <f>INDEX(AEO2014_NEWE_CO2!$B$14:$AE$14,MATCH($B147,AEO2014_NEWE_CO2!$B$4:$AE$4,0))</f>
        <v>9.4008050000000001</v>
      </c>
      <c r="I147" s="103">
        <f>INDEX(AEO2014_NEWE_CO2!$B$21:$AE$21,MATCH($B147,AEO2014_NEWE_CO2!$B$4:$AE$4,0))</f>
        <v>8.0315949999999994</v>
      </c>
      <c r="J147" s="103">
        <f>INDEX(AEO2014_NEWE_CO2!$B$28:$AE$28,MATCH($B147,AEO2014_NEWE_CO2!$B$4:$AE$4,0))</f>
        <v>0.89025200000000004</v>
      </c>
      <c r="K147" s="100">
        <f t="shared" si="4"/>
        <v>5.3056716298252725E-2</v>
      </c>
      <c r="L147" s="100">
        <f t="shared" si="1"/>
        <v>5.3056737628679788E-2</v>
      </c>
      <c r="M147" s="100">
        <f t="shared" si="2"/>
        <v>5.0311928387080602E-2</v>
      </c>
      <c r="N147" s="100">
        <f t="shared" si="3"/>
        <v>6.8386234444615154E-2</v>
      </c>
      <c r="O147" s="104">
        <f t="shared" si="5"/>
        <v>5.2641290551728101E-2</v>
      </c>
    </row>
    <row r="148" spans="2:15" x14ac:dyDescent="0.35">
      <c r="B148" s="25">
        <v>2024</v>
      </c>
      <c r="C148" s="34">
        <f>INDEX(AEO2014_NEWE_Cons!$B$11:$AE$11,MATCH($B148,AEO2014_NEWE_Cons!$B$4:$AE$4,0))*10^9</f>
        <v>224563000</v>
      </c>
      <c r="D148" s="34">
        <f>INDEX(AEO2014_NEWE_Cons!$B$25:$AE$25,MATCH($B148,AEO2014_NEWE_Cons!$B$4:$AE$4,0))*10^9</f>
        <v>177920000</v>
      </c>
      <c r="E148" s="34">
        <f>INDEX(AEO2014_NEWE_Cons!$B$41:$AE$41,MATCH($B148,AEO2014_NEWE_Cons!$B$4:$AE$4,0))*10^9</f>
        <v>161481000</v>
      </c>
      <c r="F148" s="34">
        <f>INDEX(AEO2014_NEWE_Cons!$B$67:$AE$67,MATCH($B148,AEO2014_NEWE_Cons!$B$4:$AE$4,0))*10^9</f>
        <v>12998000</v>
      </c>
      <c r="G148" s="103">
        <f>INDEX(AEO2014_NEWE_CO2!$B$8:$AE$8,MATCH($B148,AEO2014_NEWE_CO2!$B$4:$AE$4,0))</f>
        <v>11.914574</v>
      </c>
      <c r="H148" s="103">
        <f>INDEX(AEO2014_NEWE_CO2!$B$14:$AE$14,MATCH($B148,AEO2014_NEWE_CO2!$B$4:$AE$4,0))</f>
        <v>9.4398389999999992</v>
      </c>
      <c r="I148" s="103">
        <f>INDEX(AEO2014_NEWE_CO2!$B$21:$AE$21,MATCH($B148,AEO2014_NEWE_CO2!$B$4:$AE$4,0))</f>
        <v>8.1259599999999992</v>
      </c>
      <c r="J148" s="103">
        <f>INDEX(AEO2014_NEWE_CO2!$B$28:$AE$28,MATCH($B148,AEO2014_NEWE_CO2!$B$4:$AE$4,0))</f>
        <v>0.90632299999999999</v>
      </c>
      <c r="K148" s="100">
        <f t="shared" si="4"/>
        <v>5.3056710143701322E-2</v>
      </c>
      <c r="L148" s="100">
        <f t="shared" si="1"/>
        <v>5.3056649055755398E-2</v>
      </c>
      <c r="M148" s="100">
        <f t="shared" si="2"/>
        <v>5.0321461967661824E-2</v>
      </c>
      <c r="N148" s="100">
        <f t="shared" si="3"/>
        <v>6.9727881212494236E-2</v>
      </c>
      <c r="O148" s="104">
        <f t="shared" si="5"/>
        <v>5.2666719818636236E-2</v>
      </c>
    </row>
    <row r="149" spans="2:15" x14ac:dyDescent="0.35">
      <c r="B149" s="25">
        <v>2025</v>
      </c>
      <c r="C149" s="34">
        <f>INDEX(AEO2014_NEWE_Cons!$B$11:$AE$11,MATCH($B149,AEO2014_NEWE_Cons!$B$4:$AE$4,0))*10^9</f>
        <v>224354000</v>
      </c>
      <c r="D149" s="34">
        <f>INDEX(AEO2014_NEWE_Cons!$B$25:$AE$25,MATCH($B149,AEO2014_NEWE_Cons!$B$4:$AE$4,0))*10^9</f>
        <v>178335000</v>
      </c>
      <c r="E149" s="34">
        <f>INDEX(AEO2014_NEWE_Cons!$B$41:$AE$41,MATCH($B149,AEO2014_NEWE_Cons!$B$4:$AE$4,0))*10^9</f>
        <v>163378000</v>
      </c>
      <c r="F149" s="34">
        <f>INDEX(AEO2014_NEWE_Cons!$B$67:$AE$67,MATCH($B149,AEO2014_NEWE_Cons!$B$4:$AE$4,0))*10^9</f>
        <v>13007000</v>
      </c>
      <c r="G149" s="103">
        <f>INDEX(AEO2014_NEWE_CO2!$B$8:$AE$8,MATCH($B149,AEO2014_NEWE_CO2!$B$4:$AE$4,0))</f>
        <v>11.903466</v>
      </c>
      <c r="H149" s="103">
        <f>INDEX(AEO2014_NEWE_CO2!$B$14:$AE$14,MATCH($B149,AEO2014_NEWE_CO2!$B$4:$AE$4,0))</f>
        <v>9.461881</v>
      </c>
      <c r="I149" s="103">
        <f>INDEX(AEO2014_NEWE_CO2!$B$21:$AE$21,MATCH($B149,AEO2014_NEWE_CO2!$B$4:$AE$4,0))</f>
        <v>8.2244410000000006</v>
      </c>
      <c r="J149" s="103">
        <f>INDEX(AEO2014_NEWE_CO2!$B$28:$AE$28,MATCH($B149,AEO2014_NEWE_CO2!$B$4:$AE$4,0))</f>
        <v>0.92538399999999998</v>
      </c>
      <c r="K149" s="100">
        <f t="shared" si="4"/>
        <v>5.3056624798309811E-2</v>
      </c>
      <c r="L149" s="100">
        <f t="shared" si="1"/>
        <v>5.3056780777749737E-2</v>
      </c>
      <c r="M149" s="100">
        <f t="shared" si="2"/>
        <v>5.033995397177099E-2</v>
      </c>
      <c r="N149" s="100">
        <f t="shared" si="3"/>
        <v>7.114507572845391E-2</v>
      </c>
      <c r="O149" s="104">
        <f t="shared" si="5"/>
        <v>5.2696498202302294E-2</v>
      </c>
    </row>
    <row r="150" spans="2:15" x14ac:dyDescent="0.35">
      <c r="B150" s="25">
        <v>2026</v>
      </c>
      <c r="C150" s="34">
        <f>INDEX(AEO2014_NEWE_Cons!$B$11:$AE$11,MATCH($B150,AEO2014_NEWE_Cons!$B$4:$AE$4,0))*10^9</f>
        <v>224104000</v>
      </c>
      <c r="D150" s="34">
        <f>INDEX(AEO2014_NEWE_Cons!$B$25:$AE$25,MATCH($B150,AEO2014_NEWE_Cons!$B$4:$AE$4,0))*10^9</f>
        <v>178797000</v>
      </c>
      <c r="E150" s="34">
        <f>INDEX(AEO2014_NEWE_Cons!$B$41:$AE$41,MATCH($B150,AEO2014_NEWE_Cons!$B$4:$AE$4,0))*10^9</f>
        <v>165581000</v>
      </c>
      <c r="F150" s="34">
        <f>INDEX(AEO2014_NEWE_Cons!$B$67:$AE$67,MATCH($B150,AEO2014_NEWE_Cons!$B$4:$AE$4,0))*10^9</f>
        <v>12899000</v>
      </c>
      <c r="G150" s="103">
        <f>INDEX(AEO2014_NEWE_CO2!$B$8:$AE$8,MATCH($B150,AEO2014_NEWE_CO2!$B$4:$AE$4,0))</f>
        <v>11.890200999999999</v>
      </c>
      <c r="H150" s="103">
        <f>INDEX(AEO2014_NEWE_CO2!$B$14:$AE$14,MATCH($B150,AEO2014_NEWE_CO2!$B$4:$AE$4,0))</f>
        <v>9.4863900000000001</v>
      </c>
      <c r="I150" s="103">
        <f>INDEX(AEO2014_NEWE_CO2!$B$21:$AE$21,MATCH($B150,AEO2014_NEWE_CO2!$B$4:$AE$4,0))</f>
        <v>8.3411000000000008</v>
      </c>
      <c r="J150" s="103">
        <f>INDEX(AEO2014_NEWE_CO2!$B$28:$AE$28,MATCH($B150,AEO2014_NEWE_CO2!$B$4:$AE$4,0))</f>
        <v>0.94051499999999999</v>
      </c>
      <c r="K150" s="100">
        <f t="shared" si="4"/>
        <v>5.3056621033091778E-2</v>
      </c>
      <c r="L150" s="100">
        <f t="shared" si="1"/>
        <v>5.3056762697360697E-2</v>
      </c>
      <c r="M150" s="100">
        <f t="shared" si="2"/>
        <v>5.0374741063286252E-2</v>
      </c>
      <c r="N150" s="100">
        <f t="shared" si="3"/>
        <v>7.2913791766803626E-2</v>
      </c>
      <c r="O150" s="104">
        <f t="shared" si="5"/>
        <v>5.2733415780701468E-2</v>
      </c>
    </row>
    <row r="151" spans="2:15" x14ac:dyDescent="0.35">
      <c r="B151" s="25">
        <v>2027</v>
      </c>
      <c r="C151" s="34">
        <f>INDEX(AEO2014_NEWE_Cons!$B$11:$AE$11,MATCH($B151,AEO2014_NEWE_Cons!$B$4:$AE$4,0))*10^9</f>
        <v>223769000</v>
      </c>
      <c r="D151" s="34">
        <f>INDEX(AEO2014_NEWE_Cons!$B$25:$AE$25,MATCH($B151,AEO2014_NEWE_Cons!$B$4:$AE$4,0))*10^9</f>
        <v>179328000</v>
      </c>
      <c r="E151" s="34">
        <f>INDEX(AEO2014_NEWE_Cons!$B$41:$AE$41,MATCH($B151,AEO2014_NEWE_Cons!$B$4:$AE$4,0))*10^9</f>
        <v>167496000</v>
      </c>
      <c r="F151" s="34">
        <f>INDEX(AEO2014_NEWE_Cons!$B$67:$AE$67,MATCH($B151,AEO2014_NEWE_Cons!$B$4:$AE$4,0))*10^9</f>
        <v>12725000</v>
      </c>
      <c r="G151" s="103">
        <f>INDEX(AEO2014_NEWE_CO2!$B$8:$AE$8,MATCH($B151,AEO2014_NEWE_CO2!$B$4:$AE$4,0))</f>
        <v>11.872453999999999</v>
      </c>
      <c r="H151" s="103">
        <f>INDEX(AEO2014_NEWE_CO2!$B$14:$AE$14,MATCH($B151,AEO2014_NEWE_CO2!$B$4:$AE$4,0))</f>
        <v>9.5145230000000005</v>
      </c>
      <c r="I151" s="103">
        <f>INDEX(AEO2014_NEWE_CO2!$B$21:$AE$21,MATCH($B151,AEO2014_NEWE_CO2!$B$4:$AE$4,0))</f>
        <v>8.4411470000000008</v>
      </c>
      <c r="J151" s="103">
        <f>INDEX(AEO2014_NEWE_CO2!$B$28:$AE$28,MATCH($B151,AEO2014_NEWE_CO2!$B$4:$AE$4,0))</f>
        <v>0.95251200000000003</v>
      </c>
      <c r="K151" s="100">
        <f t="shared" si="4"/>
        <v>5.3056741550438172E-2</v>
      </c>
      <c r="L151" s="100">
        <f t="shared" si="1"/>
        <v>5.305653885617416E-2</v>
      </c>
      <c r="M151" s="100">
        <f t="shared" si="2"/>
        <v>5.0396110951903328E-2</v>
      </c>
      <c r="N151" s="100">
        <f t="shared" si="3"/>
        <v>7.4853595284872301E-2</v>
      </c>
      <c r="O151" s="104">
        <f t="shared" si="5"/>
        <v>5.2768191621036895E-2</v>
      </c>
    </row>
    <row r="152" spans="2:15" x14ac:dyDescent="0.35">
      <c r="B152" s="25">
        <v>2028</v>
      </c>
      <c r="C152" s="34">
        <f>INDEX(AEO2014_NEWE_Cons!$B$11:$AE$11,MATCH($B152,AEO2014_NEWE_Cons!$B$4:$AE$4,0))*10^9</f>
        <v>223357000</v>
      </c>
      <c r="D152" s="34">
        <f>INDEX(AEO2014_NEWE_Cons!$B$25:$AE$25,MATCH($B152,AEO2014_NEWE_Cons!$B$4:$AE$4,0))*10^9</f>
        <v>180125000</v>
      </c>
      <c r="E152" s="34">
        <f>INDEX(AEO2014_NEWE_Cons!$B$41:$AE$41,MATCH($B152,AEO2014_NEWE_Cons!$B$4:$AE$4,0))*10^9</f>
        <v>169264000</v>
      </c>
      <c r="F152" s="34">
        <f>INDEX(AEO2014_NEWE_Cons!$B$67:$AE$67,MATCH($B152,AEO2014_NEWE_Cons!$B$4:$AE$4,0))*10^9</f>
        <v>12740000</v>
      </c>
      <c r="G152" s="103">
        <f>INDEX(AEO2014_NEWE_CO2!$B$8:$AE$8,MATCH($B152,AEO2014_NEWE_CO2!$B$4:$AE$4,0))</f>
        <v>11.850604000000001</v>
      </c>
      <c r="H152" s="103">
        <f>INDEX(AEO2014_NEWE_CO2!$B$14:$AE$14,MATCH($B152,AEO2014_NEWE_CO2!$B$4:$AE$4,0))</f>
        <v>9.5568469999999994</v>
      </c>
      <c r="I152" s="103">
        <f>INDEX(AEO2014_NEWE_CO2!$B$21:$AE$21,MATCH($B152,AEO2014_NEWE_CO2!$B$4:$AE$4,0))</f>
        <v>8.5357160000000007</v>
      </c>
      <c r="J152" s="103">
        <f>INDEX(AEO2014_NEWE_CO2!$B$28:$AE$28,MATCH($B152,AEO2014_NEWE_CO2!$B$4:$AE$4,0))</f>
        <v>0.99091099999999999</v>
      </c>
      <c r="K152" s="100">
        <f t="shared" si="4"/>
        <v>5.3056783534879137E-2</v>
      </c>
      <c r="L152" s="100">
        <f t="shared" si="1"/>
        <v>5.3056749479528105E-2</v>
      </c>
      <c r="M152" s="100">
        <f t="shared" si="2"/>
        <v>5.0428419510350694E-2</v>
      </c>
      <c r="N152" s="100">
        <f t="shared" si="3"/>
        <v>7.7779513343799053E-2</v>
      </c>
      <c r="O152" s="104">
        <f t="shared" si="5"/>
        <v>5.2834872225808988E-2</v>
      </c>
    </row>
    <row r="153" spans="2:15" x14ac:dyDescent="0.35">
      <c r="B153" s="25">
        <v>2029</v>
      </c>
      <c r="C153" s="34">
        <f>INDEX(AEO2014_NEWE_Cons!$B$11:$AE$11,MATCH($B153,AEO2014_NEWE_Cons!$B$4:$AE$4,0))*10^9</f>
        <v>222797000</v>
      </c>
      <c r="D153" s="34">
        <f>INDEX(AEO2014_NEWE_Cons!$B$25:$AE$25,MATCH($B153,AEO2014_NEWE_Cons!$B$4:$AE$4,0))*10^9</f>
        <v>180738000</v>
      </c>
      <c r="E153" s="34">
        <f>INDEX(AEO2014_NEWE_Cons!$B$41:$AE$41,MATCH($B153,AEO2014_NEWE_Cons!$B$4:$AE$4,0))*10^9</f>
        <v>170951000</v>
      </c>
      <c r="F153" s="34">
        <f>INDEX(AEO2014_NEWE_Cons!$B$67:$AE$67,MATCH($B153,AEO2014_NEWE_Cons!$B$4:$AE$4,0))*10^9</f>
        <v>12615000</v>
      </c>
      <c r="G153" s="103">
        <f>INDEX(AEO2014_NEWE_CO2!$B$8:$AE$8,MATCH($B153,AEO2014_NEWE_CO2!$B$4:$AE$4,0))</f>
        <v>11.82089</v>
      </c>
      <c r="H153" s="103">
        <f>INDEX(AEO2014_NEWE_CO2!$B$14:$AE$14,MATCH($B153,AEO2014_NEWE_CO2!$B$4:$AE$4,0))</f>
        <v>9.5893789999999992</v>
      </c>
      <c r="I153" s="103">
        <f>INDEX(AEO2014_NEWE_CO2!$B$21:$AE$21,MATCH($B153,AEO2014_NEWE_CO2!$B$4:$AE$4,0))</f>
        <v>8.6308790000000002</v>
      </c>
      <c r="J153" s="103">
        <f>INDEX(AEO2014_NEWE_CO2!$B$28:$AE$28,MATCH($B153,AEO2014_NEWE_CO2!$B$4:$AE$4,0))</f>
        <v>1.022772</v>
      </c>
      <c r="K153" s="100">
        <f t="shared" si="4"/>
        <v>5.3056773654941491E-2</v>
      </c>
      <c r="L153" s="100">
        <f t="shared" si="1"/>
        <v>5.3056794918611469E-2</v>
      </c>
      <c r="M153" s="100">
        <f t="shared" si="2"/>
        <v>5.0487443770437145E-2</v>
      </c>
      <c r="N153" s="100">
        <f t="shared" si="3"/>
        <v>8.1075862068965512E-2</v>
      </c>
      <c r="O153" s="104">
        <f t="shared" si="5"/>
        <v>5.2910691686779615E-2</v>
      </c>
    </row>
    <row r="154" spans="2:15" x14ac:dyDescent="0.35">
      <c r="B154" s="26">
        <v>2030</v>
      </c>
      <c r="C154" s="35">
        <f>INDEX(AEO2014_NEWE_Cons!$B$11:$AE$11,MATCH($B154,AEO2014_NEWE_Cons!$B$4:$AE$4,0))*10^9</f>
        <v>222185000</v>
      </c>
      <c r="D154" s="35">
        <f>INDEX(AEO2014_NEWE_Cons!$B$25:$AE$25,MATCH($B154,AEO2014_NEWE_Cons!$B$4:$AE$4,0))*10^9</f>
        <v>181501000</v>
      </c>
      <c r="E154" s="35">
        <f>INDEX(AEO2014_NEWE_Cons!$B$41:$AE$41,MATCH($B154,AEO2014_NEWE_Cons!$B$4:$AE$4,0))*10^9</f>
        <v>172851000</v>
      </c>
      <c r="F154" s="35">
        <f>INDEX(AEO2014_NEWE_Cons!$B$67:$AE$67,MATCH($B154,AEO2014_NEWE_Cons!$B$4:$AE$4,0))*10^9</f>
        <v>12704000</v>
      </c>
      <c r="G154" s="105">
        <f>INDEX(AEO2014_NEWE_CO2!$B$8:$AE$8,MATCH($B154,AEO2014_NEWE_CO2!$B$4:$AE$4,0))</f>
        <v>11.788403000000001</v>
      </c>
      <c r="H154" s="105">
        <f>INDEX(AEO2014_NEWE_CO2!$B$14:$AE$14,MATCH($B154,AEO2014_NEWE_CO2!$B$4:$AE$4,0))</f>
        <v>9.6298159999999999</v>
      </c>
      <c r="I154" s="105">
        <f>INDEX(AEO2014_NEWE_CO2!$B$21:$AE$21,MATCH($B154,AEO2014_NEWE_CO2!$B$4:$AE$4,0))</f>
        <v>8.7387720000000009</v>
      </c>
      <c r="J154" s="105">
        <f>INDEX(AEO2014_NEWE_CO2!$B$28:$AE$28,MATCH($B154,AEO2014_NEWE_CO2!$B$4:$AE$4,0))</f>
        <v>1.0713809999999999</v>
      </c>
      <c r="K154" s="102">
        <f t="shared" si="4"/>
        <v>5.3056700497333305E-2</v>
      </c>
      <c r="L154" s="102">
        <f t="shared" si="1"/>
        <v>5.3056545143001968E-2</v>
      </c>
      <c r="M154" s="102">
        <f t="shared" si="2"/>
        <v>5.055667598104726E-2</v>
      </c>
      <c r="N154" s="102">
        <f t="shared" si="3"/>
        <v>8.4334146725440803E-2</v>
      </c>
      <c r="O154" s="106">
        <f t="shared" si="5"/>
        <v>5.2997622365042484E-2</v>
      </c>
    </row>
    <row r="156" spans="2:15" x14ac:dyDescent="0.35">
      <c r="B156" s="29" t="s">
        <v>509</v>
      </c>
      <c r="C156" s="30"/>
      <c r="D156" s="42"/>
      <c r="E156" s="42"/>
      <c r="F156" s="42"/>
      <c r="G156" s="42"/>
      <c r="H156" s="42"/>
      <c r="I156" s="137"/>
    </row>
    <row r="157" spans="2:15" x14ac:dyDescent="0.35">
      <c r="B157" s="40" t="s">
        <v>5</v>
      </c>
      <c r="C157" s="32" t="s">
        <v>253</v>
      </c>
      <c r="D157" s="43"/>
      <c r="E157" s="43"/>
      <c r="F157" s="43"/>
      <c r="G157" s="43"/>
      <c r="H157" s="43"/>
      <c r="I157" s="138"/>
    </row>
    <row r="158" spans="2:15" x14ac:dyDescent="0.35">
      <c r="B158" s="40" t="s">
        <v>6</v>
      </c>
      <c r="C158" s="99" t="s">
        <v>251</v>
      </c>
      <c r="D158" s="43"/>
      <c r="E158" s="43"/>
      <c r="F158" s="43"/>
      <c r="G158" s="43"/>
      <c r="H158" s="43"/>
      <c r="I158" s="138"/>
    </row>
    <row r="159" spans="2:15" x14ac:dyDescent="0.35">
      <c r="B159" s="40"/>
      <c r="C159" s="99" t="s">
        <v>252</v>
      </c>
      <c r="D159" s="43"/>
      <c r="E159" s="43"/>
      <c r="F159" s="43"/>
      <c r="G159" s="43"/>
      <c r="H159" s="43"/>
      <c r="I159" s="138"/>
    </row>
    <row r="160" spans="2:15" x14ac:dyDescent="0.35">
      <c r="B160" s="40" t="s">
        <v>7</v>
      </c>
      <c r="C160" s="32" t="s">
        <v>29</v>
      </c>
      <c r="D160" s="43"/>
      <c r="E160" s="43"/>
      <c r="F160" s="43"/>
      <c r="G160" s="43"/>
      <c r="H160" s="43"/>
      <c r="I160" s="138"/>
    </row>
    <row r="161" spans="2:9" x14ac:dyDescent="0.35">
      <c r="B161" s="23"/>
      <c r="C161" s="2"/>
      <c r="D161" s="2"/>
      <c r="E161" s="2"/>
      <c r="F161" s="2"/>
      <c r="G161" s="2"/>
      <c r="H161" s="2"/>
      <c r="I161" s="24"/>
    </row>
    <row r="162" spans="2:9" x14ac:dyDescent="0.35">
      <c r="B162" s="276" t="s">
        <v>111</v>
      </c>
      <c r="C162" s="78" t="s">
        <v>458</v>
      </c>
      <c r="D162" s="78" t="s">
        <v>459</v>
      </c>
      <c r="E162" s="78" t="s">
        <v>461</v>
      </c>
      <c r="F162" s="78" t="s">
        <v>258</v>
      </c>
      <c r="G162" s="78" t="s">
        <v>462</v>
      </c>
      <c r="H162" s="78" t="s">
        <v>463</v>
      </c>
      <c r="I162" s="282" t="s">
        <v>464</v>
      </c>
    </row>
    <row r="163" spans="2:9" x14ac:dyDescent="0.35">
      <c r="B163" s="276" t="s">
        <v>32</v>
      </c>
      <c r="C163" s="78" t="s">
        <v>259</v>
      </c>
      <c r="D163" s="78" t="s">
        <v>261</v>
      </c>
      <c r="E163" s="78" t="s">
        <v>278</v>
      </c>
      <c r="F163" s="78" t="s">
        <v>259</v>
      </c>
      <c r="G163" s="78" t="s">
        <v>261</v>
      </c>
      <c r="H163" s="78" t="s">
        <v>278</v>
      </c>
      <c r="I163" s="81" t="s">
        <v>278</v>
      </c>
    </row>
    <row r="164" spans="2:9" x14ac:dyDescent="0.35">
      <c r="B164" s="79" t="s">
        <v>110</v>
      </c>
      <c r="C164" s="80" t="s">
        <v>460</v>
      </c>
      <c r="D164" s="80" t="s">
        <v>460</v>
      </c>
      <c r="E164" s="80" t="s">
        <v>460</v>
      </c>
      <c r="F164" s="80" t="s">
        <v>460</v>
      </c>
      <c r="G164" s="80" t="s">
        <v>460</v>
      </c>
      <c r="H164" s="80" t="s">
        <v>460</v>
      </c>
      <c r="I164" s="82" t="s">
        <v>460</v>
      </c>
    </row>
    <row r="165" spans="2:9" x14ac:dyDescent="0.35">
      <c r="B165" s="25">
        <v>2015</v>
      </c>
      <c r="C165" s="34">
        <f>INDEX(AEO2014_NEWE_Cons!$B$108:$AE$108,MATCH($B165,AEO2014_NEWE_Cons!$B$4:$AE$4,0))*10^9</f>
        <v>3887000</v>
      </c>
      <c r="D165" s="281">
        <f>INDEX(AEO2014_NEWE_CO2!$B$33:$AE$33,MATCH($B165,AEO2014_NEWE_CO2!$B$4:$AE$4,0))</f>
        <v>0.30102400000000001</v>
      </c>
      <c r="E165" s="100">
        <f>D165*10^6/C165</f>
        <v>7.7443786982248519E-2</v>
      </c>
      <c r="F165" s="34">
        <f>INDEX(AEO2014_NEWE_Cons!$B$109:$AE$109,MATCH($B165,AEO2014_NEWE_Cons!$B$4:$AE$4,0))*10^9</f>
        <v>455756000</v>
      </c>
      <c r="G165" s="103">
        <f>INDEX(AEO2014_NEWE_CO2!$B$34:$AE$34,MATCH($B165,AEO2014_NEWE_CO2!$B$4:$AE$4,0))</f>
        <v>24.180917999999998</v>
      </c>
      <c r="H165" s="100">
        <f>G165*10^6/F165</f>
        <v>5.3056718946102741E-2</v>
      </c>
      <c r="I165" s="104">
        <f>E165-H165</f>
        <v>2.4387068036145779E-2</v>
      </c>
    </row>
    <row r="166" spans="2:9" x14ac:dyDescent="0.35">
      <c r="B166" s="25">
        <v>2016</v>
      </c>
      <c r="C166" s="34">
        <f>INDEX(AEO2014_NEWE_Cons!$B$108:$AE$108,MATCH($B166,AEO2014_NEWE_Cons!$B$4:$AE$4,0))*10^9</f>
        <v>3755000</v>
      </c>
      <c r="D166" s="281">
        <f>INDEX(AEO2014_NEWE_CO2!$B$33:$AE$33,MATCH($B166,AEO2014_NEWE_CO2!$B$4:$AE$4,0))</f>
        <v>0.29138700000000001</v>
      </c>
      <c r="E166" s="100">
        <f t="shared" ref="E166:E180" si="6">D166*10^6/C166</f>
        <v>7.759973368841544E-2</v>
      </c>
      <c r="F166" s="34">
        <f>INDEX(AEO2014_NEWE_Cons!$B$109:$AE$109,MATCH($B166,AEO2014_NEWE_Cons!$B$4:$AE$4,0))*10^9</f>
        <v>467721000</v>
      </c>
      <c r="G166" s="103">
        <f>INDEX(AEO2014_NEWE_CO2!$B$34:$AE$34,MATCH($B166,AEO2014_NEWE_CO2!$B$4:$AE$4,0))</f>
        <v>24.815708000000001</v>
      </c>
      <c r="H166" s="100">
        <f t="shared" ref="H166:H180" si="7">G166*10^6/F166</f>
        <v>5.3056647018201022E-2</v>
      </c>
      <c r="I166" s="104">
        <f t="shared" ref="I166:I180" si="8">E166-H166</f>
        <v>2.4543086670214417E-2</v>
      </c>
    </row>
    <row r="167" spans="2:9" x14ac:dyDescent="0.35">
      <c r="B167" s="25">
        <v>2017</v>
      </c>
      <c r="C167" s="34">
        <f>INDEX(AEO2014_NEWE_Cons!$B$108:$AE$108,MATCH($B167,AEO2014_NEWE_Cons!$B$4:$AE$4,0))*10^9</f>
        <v>1250000</v>
      </c>
      <c r="D167" s="281">
        <f>INDEX(AEO2014_NEWE_CO2!$B$33:$AE$33,MATCH($B167,AEO2014_NEWE_CO2!$B$4:$AE$4,0))</f>
        <v>9.3478000000000006E-2</v>
      </c>
      <c r="E167" s="100">
        <f t="shared" si="6"/>
        <v>7.4782399999999999E-2</v>
      </c>
      <c r="F167" s="34">
        <f>INDEX(AEO2014_NEWE_Cons!$B$109:$AE$109,MATCH($B167,AEO2014_NEWE_Cons!$B$4:$AE$4,0))*10^9</f>
        <v>480300000</v>
      </c>
      <c r="G167" s="103">
        <f>INDEX(AEO2014_NEWE_CO2!$B$34:$AE$34,MATCH($B167,AEO2014_NEWE_CO2!$B$4:$AE$4,0))</f>
        <v>25.48312</v>
      </c>
      <c r="H167" s="100">
        <f t="shared" si="7"/>
        <v>5.3056672912762858E-2</v>
      </c>
      <c r="I167" s="104">
        <f t="shared" si="8"/>
        <v>2.1725727087237141E-2</v>
      </c>
    </row>
    <row r="168" spans="2:9" x14ac:dyDescent="0.35">
      <c r="B168" s="25">
        <v>2018</v>
      </c>
      <c r="C168" s="34">
        <f>INDEX(AEO2014_NEWE_Cons!$B$108:$AE$108,MATCH($B168,AEO2014_NEWE_Cons!$B$4:$AE$4,0))*10^9</f>
        <v>1347000</v>
      </c>
      <c r="D168" s="281">
        <f>INDEX(AEO2014_NEWE_CO2!$B$33:$AE$33,MATCH($B168,AEO2014_NEWE_CO2!$B$4:$AE$4,0))</f>
        <v>0.100532</v>
      </c>
      <c r="E168" s="100">
        <f t="shared" si="6"/>
        <v>7.4634001484780998E-2</v>
      </c>
      <c r="F168" s="34">
        <f>INDEX(AEO2014_NEWE_Cons!$B$109:$AE$109,MATCH($B168,AEO2014_NEWE_Cons!$B$4:$AE$4,0))*10^9</f>
        <v>482361000</v>
      </c>
      <c r="G168" s="103">
        <f>INDEX(AEO2014_NEWE_CO2!$B$34:$AE$34,MATCH($B168,AEO2014_NEWE_CO2!$B$4:$AE$4,0))</f>
        <v>25.592461</v>
      </c>
      <c r="H168" s="100">
        <f t="shared" si="7"/>
        <v>5.3056654663208677E-2</v>
      </c>
      <c r="I168" s="104">
        <f t="shared" si="8"/>
        <v>2.1577346821572321E-2</v>
      </c>
    </row>
    <row r="169" spans="2:9" x14ac:dyDescent="0.35">
      <c r="B169" s="25">
        <v>2019</v>
      </c>
      <c r="C169" s="34">
        <f>INDEX(AEO2014_NEWE_Cons!$B$108:$AE$108,MATCH($B169,AEO2014_NEWE_Cons!$B$4:$AE$4,0))*10^9</f>
        <v>1556000</v>
      </c>
      <c r="D169" s="281">
        <f>INDEX(AEO2014_NEWE_CO2!$B$33:$AE$33,MATCH($B169,AEO2014_NEWE_CO2!$B$4:$AE$4,0))</f>
        <v>0.115839</v>
      </c>
      <c r="E169" s="100">
        <f t="shared" si="6"/>
        <v>7.4446658097686372E-2</v>
      </c>
      <c r="F169" s="34">
        <f>INDEX(AEO2014_NEWE_Cons!$B$109:$AE$109,MATCH($B169,AEO2014_NEWE_Cons!$B$4:$AE$4,0))*10^9</f>
        <v>480477000</v>
      </c>
      <c r="G169" s="103">
        <f>INDEX(AEO2014_NEWE_CO2!$B$34:$AE$34,MATCH($B169,AEO2014_NEWE_CO2!$B$4:$AE$4,0))</f>
        <v>25.492529000000001</v>
      </c>
      <c r="H169" s="100">
        <f t="shared" si="7"/>
        <v>5.3056710310795313E-2</v>
      </c>
      <c r="I169" s="104">
        <f t="shared" si="8"/>
        <v>2.1389947786891059E-2</v>
      </c>
    </row>
    <row r="170" spans="2:9" x14ac:dyDescent="0.35">
      <c r="B170" s="25">
        <v>2020</v>
      </c>
      <c r="C170" s="34">
        <f>INDEX(AEO2014_NEWE_Cons!$B$108:$AE$108,MATCH($B170,AEO2014_NEWE_Cons!$B$4:$AE$4,0))*10^9</f>
        <v>1570000</v>
      </c>
      <c r="D170" s="281">
        <f>INDEX(AEO2014_NEWE_CO2!$B$33:$AE$33,MATCH($B170,AEO2014_NEWE_CO2!$B$4:$AE$4,0))</f>
        <v>0.116858</v>
      </c>
      <c r="E170" s="100">
        <f t="shared" si="6"/>
        <v>7.4431847133757958E-2</v>
      </c>
      <c r="F170" s="34">
        <f>INDEX(AEO2014_NEWE_Cons!$B$109:$AE$109,MATCH($B170,AEO2014_NEWE_Cons!$B$4:$AE$4,0))*10^9</f>
        <v>470348000</v>
      </c>
      <c r="G170" s="103">
        <f>INDEX(AEO2014_NEWE_CO2!$B$34:$AE$34,MATCH($B170,AEO2014_NEWE_CO2!$B$4:$AE$4,0))</f>
        <v>24.955120000000001</v>
      </c>
      <c r="H170" s="100">
        <f t="shared" si="7"/>
        <v>5.3056715453238881E-2</v>
      </c>
      <c r="I170" s="104">
        <f t="shared" si="8"/>
        <v>2.1375131680519077E-2</v>
      </c>
    </row>
    <row r="171" spans="2:9" x14ac:dyDescent="0.35">
      <c r="B171" s="25">
        <v>2021</v>
      </c>
      <c r="C171" s="34">
        <f>INDEX(AEO2014_NEWE_Cons!$B$108:$AE$108,MATCH($B171,AEO2014_NEWE_Cons!$B$4:$AE$4,0))*10^9</f>
        <v>1460000</v>
      </c>
      <c r="D171" s="281">
        <f>INDEX(AEO2014_NEWE_CO2!$B$33:$AE$33,MATCH($B171,AEO2014_NEWE_CO2!$B$4:$AE$4,0))</f>
        <v>0.108835</v>
      </c>
      <c r="E171" s="100">
        <f t="shared" si="6"/>
        <v>7.4544520547945206E-2</v>
      </c>
      <c r="F171" s="34">
        <f>INDEX(AEO2014_NEWE_Cons!$B$109:$AE$109,MATCH($B171,AEO2014_NEWE_Cons!$B$4:$AE$4,0))*10^9</f>
        <v>463174000</v>
      </c>
      <c r="G171" s="103">
        <f>INDEX(AEO2014_NEWE_CO2!$B$34:$AE$34,MATCH($B171,AEO2014_NEWE_CO2!$B$4:$AE$4,0))</f>
        <v>24.574476000000001</v>
      </c>
      <c r="H171" s="100">
        <f t="shared" si="7"/>
        <v>5.305668280171167E-2</v>
      </c>
      <c r="I171" s="104">
        <f t="shared" si="8"/>
        <v>2.1487837746233536E-2</v>
      </c>
    </row>
    <row r="172" spans="2:9" x14ac:dyDescent="0.35">
      <c r="B172" s="25">
        <v>2022</v>
      </c>
      <c r="C172" s="34">
        <f>INDEX(AEO2014_NEWE_Cons!$B$108:$AE$108,MATCH($B172,AEO2014_NEWE_Cons!$B$4:$AE$4,0))*10^9</f>
        <v>1285000</v>
      </c>
      <c r="D172" s="281">
        <f>INDEX(AEO2014_NEWE_CO2!$B$33:$AE$33,MATCH($B172,AEO2014_NEWE_CO2!$B$4:$AE$4,0))</f>
        <v>9.4955999999999999E-2</v>
      </c>
      <c r="E172" s="100">
        <f t="shared" si="6"/>
        <v>7.3895719844357971E-2</v>
      </c>
      <c r="F172" s="34">
        <f>INDEX(AEO2014_NEWE_Cons!$B$109:$AE$109,MATCH($B172,AEO2014_NEWE_Cons!$B$4:$AE$4,0))*10^9</f>
        <v>450075000</v>
      </c>
      <c r="G172" s="103">
        <f>INDEX(AEO2014_NEWE_CO2!$B$34:$AE$34,MATCH($B172,AEO2014_NEWE_CO2!$B$4:$AE$4,0))</f>
        <v>23.879465</v>
      </c>
      <c r="H172" s="100">
        <f t="shared" si="7"/>
        <v>5.3056635005276902E-2</v>
      </c>
      <c r="I172" s="104">
        <f t="shared" si="8"/>
        <v>2.0839084839081069E-2</v>
      </c>
    </row>
    <row r="173" spans="2:9" x14ac:dyDescent="0.35">
      <c r="B173" s="25">
        <v>2023</v>
      </c>
      <c r="C173" s="34">
        <f>INDEX(AEO2014_NEWE_Cons!$B$108:$AE$108,MATCH($B173,AEO2014_NEWE_Cons!$B$4:$AE$4,0))*10^9</f>
        <v>1279000</v>
      </c>
      <c r="D173" s="281">
        <f>INDEX(AEO2014_NEWE_CO2!$B$33:$AE$33,MATCH($B173,AEO2014_NEWE_CO2!$B$4:$AE$4,0))</f>
        <v>9.4571000000000002E-2</v>
      </c>
      <c r="E173" s="100">
        <f t="shared" si="6"/>
        <v>7.3941360437842066E-2</v>
      </c>
      <c r="F173" s="34">
        <f>INDEX(AEO2014_NEWE_Cons!$B$109:$AE$109,MATCH($B173,AEO2014_NEWE_Cons!$B$4:$AE$4,0))*10^9</f>
        <v>440293000</v>
      </c>
      <c r="G173" s="103">
        <f>INDEX(AEO2014_NEWE_CO2!$B$34:$AE$34,MATCH($B173,AEO2014_NEWE_CO2!$B$4:$AE$4,0))</f>
        <v>23.360451000000001</v>
      </c>
      <c r="H173" s="100">
        <f t="shared" si="7"/>
        <v>5.3056603216494469E-2</v>
      </c>
      <c r="I173" s="104">
        <f t="shared" si="8"/>
        <v>2.0884757221347597E-2</v>
      </c>
    </row>
    <row r="174" spans="2:9" x14ac:dyDescent="0.35">
      <c r="B174" s="25">
        <v>2024</v>
      </c>
      <c r="C174" s="34">
        <f>INDEX(AEO2014_NEWE_Cons!$B$108:$AE$108,MATCH($B174,AEO2014_NEWE_Cons!$B$4:$AE$4,0))*10^9</f>
        <v>1099000</v>
      </c>
      <c r="D174" s="281">
        <f>INDEX(AEO2014_NEWE_CO2!$B$33:$AE$33,MATCH($B174,AEO2014_NEWE_CO2!$B$4:$AE$4,0))</f>
        <v>8.0378000000000005E-2</v>
      </c>
      <c r="E174" s="100">
        <f t="shared" si="6"/>
        <v>7.3137397634212925E-2</v>
      </c>
      <c r="F174" s="34">
        <f>INDEX(AEO2014_NEWE_Cons!$B$109:$AE$109,MATCH($B174,AEO2014_NEWE_Cons!$B$4:$AE$4,0))*10^9</f>
        <v>435318000</v>
      </c>
      <c r="G174" s="103">
        <f>INDEX(AEO2014_NEWE_CO2!$B$34:$AE$34,MATCH($B174,AEO2014_NEWE_CO2!$B$4:$AE$4,0))</f>
        <v>23.096520999999999</v>
      </c>
      <c r="H174" s="100">
        <f t="shared" si="7"/>
        <v>5.305666432355198E-2</v>
      </c>
      <c r="I174" s="104">
        <f t="shared" si="8"/>
        <v>2.0080733310660945E-2</v>
      </c>
    </row>
    <row r="175" spans="2:9" x14ac:dyDescent="0.35">
      <c r="B175" s="25">
        <v>2025</v>
      </c>
      <c r="C175" s="34">
        <f>INDEX(AEO2014_NEWE_Cons!$B$108:$AE$108,MATCH($B175,AEO2014_NEWE_Cons!$B$4:$AE$4,0))*10^9</f>
        <v>1099000</v>
      </c>
      <c r="D175" s="281">
        <f>INDEX(AEO2014_NEWE_CO2!$B$33:$AE$33,MATCH($B175,AEO2014_NEWE_CO2!$B$4:$AE$4,0))</f>
        <v>8.0384999999999998E-2</v>
      </c>
      <c r="E175" s="100">
        <f t="shared" si="6"/>
        <v>7.314376706096451E-2</v>
      </c>
      <c r="F175" s="34">
        <f>INDEX(AEO2014_NEWE_Cons!$B$109:$AE$109,MATCH($B175,AEO2014_NEWE_Cons!$B$4:$AE$4,0))*10^9</f>
        <v>433680000</v>
      </c>
      <c r="G175" s="103">
        <f>INDEX(AEO2014_NEWE_CO2!$B$34:$AE$34,MATCH($B175,AEO2014_NEWE_CO2!$B$4:$AE$4,0))</f>
        <v>23.009606999999999</v>
      </c>
      <c r="H175" s="100">
        <f t="shared" si="7"/>
        <v>5.3056647758716102E-2</v>
      </c>
      <c r="I175" s="104">
        <f t="shared" si="8"/>
        <v>2.0087119302248407E-2</v>
      </c>
    </row>
    <row r="176" spans="2:9" x14ac:dyDescent="0.35">
      <c r="B176" s="25">
        <v>2026</v>
      </c>
      <c r="C176" s="34">
        <f>INDEX(AEO2014_NEWE_Cons!$B$108:$AE$108,MATCH($B176,AEO2014_NEWE_Cons!$B$4:$AE$4,0))*10^9</f>
        <v>1051000</v>
      </c>
      <c r="D176" s="281">
        <f>INDEX(AEO2014_NEWE_CO2!$B$33:$AE$33,MATCH($B176,AEO2014_NEWE_CO2!$B$4:$AE$4,0))</f>
        <v>7.6891000000000001E-2</v>
      </c>
      <c r="E176" s="100">
        <f t="shared" si="6"/>
        <v>7.3159847764034253E-2</v>
      </c>
      <c r="F176" s="34">
        <f>INDEX(AEO2014_NEWE_Cons!$B$109:$AE$109,MATCH($B176,AEO2014_NEWE_Cons!$B$4:$AE$4,0))*10^9</f>
        <v>420147000</v>
      </c>
      <c r="G176" s="103">
        <f>INDEX(AEO2014_NEWE_CO2!$B$34:$AE$34,MATCH($B176,AEO2014_NEWE_CO2!$B$4:$AE$4,0))</f>
        <v>22.287157000000001</v>
      </c>
      <c r="H176" s="100">
        <f t="shared" si="7"/>
        <v>5.304609339112263E-2</v>
      </c>
      <c r="I176" s="104">
        <f t="shared" si="8"/>
        <v>2.0113754372911623E-2</v>
      </c>
    </row>
    <row r="177" spans="2:9" x14ac:dyDescent="0.35">
      <c r="B177" s="25">
        <v>2027</v>
      </c>
      <c r="C177" s="34">
        <f>INDEX(AEO2014_NEWE_Cons!$B$108:$AE$108,MATCH($B177,AEO2014_NEWE_Cons!$B$4:$AE$4,0))*10^9</f>
        <v>1145000</v>
      </c>
      <c r="D177" s="281">
        <f>INDEX(AEO2014_NEWE_CO2!$B$33:$AE$33,MATCH($B177,AEO2014_NEWE_CO2!$B$4:$AE$4,0))</f>
        <v>8.3776000000000003E-2</v>
      </c>
      <c r="E177" s="100">
        <f t="shared" si="6"/>
        <v>7.3166812227074232E-2</v>
      </c>
      <c r="F177" s="34">
        <f>INDEX(AEO2014_NEWE_Cons!$B$109:$AE$109,MATCH($B177,AEO2014_NEWE_Cons!$B$4:$AE$4,0))*10^9</f>
        <v>400199000</v>
      </c>
      <c r="G177" s="103">
        <f>INDEX(AEO2014_NEWE_CO2!$B$34:$AE$34,MATCH($B177,AEO2014_NEWE_CO2!$B$4:$AE$4,0))</f>
        <v>21.225203</v>
      </c>
      <c r="H177" s="100">
        <f t="shared" si="7"/>
        <v>5.3036621780664123E-2</v>
      </c>
      <c r="I177" s="104">
        <f t="shared" si="8"/>
        <v>2.0130190446410109E-2</v>
      </c>
    </row>
    <row r="178" spans="2:9" x14ac:dyDescent="0.35">
      <c r="B178" s="25">
        <v>2028</v>
      </c>
      <c r="C178" s="34">
        <f>INDEX(AEO2014_NEWE_Cons!$B$108:$AE$108,MATCH($B178,AEO2014_NEWE_Cons!$B$4:$AE$4,0))*10^9</f>
        <v>1170000</v>
      </c>
      <c r="D178" s="281">
        <f>INDEX(AEO2014_NEWE_CO2!$B$33:$AE$33,MATCH($B178,AEO2014_NEWE_CO2!$B$4:$AE$4,0))</f>
        <v>8.5586999999999996E-2</v>
      </c>
      <c r="E178" s="100">
        <f t="shared" si="6"/>
        <v>7.3151282051282046E-2</v>
      </c>
      <c r="F178" s="34">
        <f>INDEX(AEO2014_NEWE_Cons!$B$109:$AE$109,MATCH($B178,AEO2014_NEWE_Cons!$B$4:$AE$4,0))*10^9</f>
        <v>398817000</v>
      </c>
      <c r="G178" s="103">
        <f>INDEX(AEO2014_NEWE_CO2!$B$34:$AE$34,MATCH($B178,AEO2014_NEWE_CO2!$B$4:$AE$4,0))</f>
        <v>21.146934999999999</v>
      </c>
      <c r="H178" s="100">
        <f t="shared" si="7"/>
        <v>5.3024156442679223E-2</v>
      </c>
      <c r="I178" s="104">
        <f t="shared" si="8"/>
        <v>2.0127125608602824E-2</v>
      </c>
    </row>
    <row r="179" spans="2:9" x14ac:dyDescent="0.35">
      <c r="B179" s="25">
        <v>2029</v>
      </c>
      <c r="C179" s="34">
        <f>INDEX(AEO2014_NEWE_Cons!$B$108:$AE$108,MATCH($B179,AEO2014_NEWE_Cons!$B$4:$AE$4,0))*10^9</f>
        <v>1175000</v>
      </c>
      <c r="D179" s="281">
        <f>INDEX(AEO2014_NEWE_CO2!$B$33:$AE$33,MATCH($B179,AEO2014_NEWE_CO2!$B$4:$AE$4,0))</f>
        <v>8.5962999999999998E-2</v>
      </c>
      <c r="E179" s="100">
        <f t="shared" si="6"/>
        <v>7.3160000000000003E-2</v>
      </c>
      <c r="F179" s="34">
        <f>INDEX(AEO2014_NEWE_Cons!$B$109:$AE$109,MATCH($B179,AEO2014_NEWE_Cons!$B$4:$AE$4,0))*10^9</f>
        <v>383828000</v>
      </c>
      <c r="G179" s="103">
        <f>INDEX(AEO2014_NEWE_CO2!$B$34:$AE$34,MATCH($B179,AEO2014_NEWE_CO2!$B$4:$AE$4,0))</f>
        <v>20.352250999999999</v>
      </c>
      <c r="H179" s="100">
        <f t="shared" si="7"/>
        <v>5.3024404160196756E-2</v>
      </c>
      <c r="I179" s="104">
        <f t="shared" si="8"/>
        <v>2.0135595839803247E-2</v>
      </c>
    </row>
    <row r="180" spans="2:9" x14ac:dyDescent="0.35">
      <c r="B180" s="26">
        <v>2030</v>
      </c>
      <c r="C180" s="35">
        <f>INDEX(AEO2014_NEWE_Cons!$B$108:$AE$108,MATCH($B180,AEO2014_NEWE_Cons!$B$4:$AE$4,0))*10^9</f>
        <v>1171000</v>
      </c>
      <c r="D180" s="119">
        <f>INDEX(AEO2014_NEWE_CO2!$B$33:$AE$33,MATCH($B180,AEO2014_NEWE_CO2!$B$4:$AE$4,0))</f>
        <v>8.5684999999999997E-2</v>
      </c>
      <c r="E180" s="102">
        <f t="shared" si="6"/>
        <v>7.3172502134927417E-2</v>
      </c>
      <c r="F180" s="35">
        <f>INDEX(AEO2014_NEWE_Cons!$B$109:$AE$109,MATCH($B180,AEO2014_NEWE_Cons!$B$4:$AE$4,0))*10^9</f>
        <v>389681000</v>
      </c>
      <c r="G180" s="105">
        <f>INDEX(AEO2014_NEWE_CO2!$B$34:$AE$34,MATCH($B180,AEO2014_NEWE_CO2!$B$4:$AE$4,0))</f>
        <v>20.662676000000001</v>
      </c>
      <c r="H180" s="102">
        <f t="shared" si="7"/>
        <v>5.3024591909792883E-2</v>
      </c>
      <c r="I180" s="106">
        <f t="shared" si="8"/>
        <v>2.0147910225134534E-2</v>
      </c>
    </row>
    <row r="182" spans="2:9" x14ac:dyDescent="0.35">
      <c r="B182" s="29" t="s">
        <v>510</v>
      </c>
      <c r="C182" s="30"/>
      <c r="D182" s="42"/>
      <c r="E182" s="30"/>
      <c r="F182" s="30"/>
      <c r="G182" s="30"/>
      <c r="H182" s="31"/>
    </row>
    <row r="183" spans="2:9" x14ac:dyDescent="0.35">
      <c r="B183" s="40" t="s">
        <v>5</v>
      </c>
      <c r="C183" s="32" t="s">
        <v>274</v>
      </c>
      <c r="D183" s="43"/>
      <c r="E183" s="32"/>
      <c r="F183" s="32"/>
      <c r="G183" s="32"/>
      <c r="H183" s="33"/>
    </row>
    <row r="184" spans="2:9" x14ac:dyDescent="0.35">
      <c r="B184" s="40" t="s">
        <v>6</v>
      </c>
      <c r="C184" s="99" t="s">
        <v>423</v>
      </c>
      <c r="D184" s="43"/>
      <c r="E184" s="32"/>
      <c r="F184" s="32"/>
      <c r="G184" s="32"/>
      <c r="H184" s="33"/>
    </row>
    <row r="185" spans="2:9" x14ac:dyDescent="0.35">
      <c r="B185" s="40" t="s">
        <v>7</v>
      </c>
      <c r="C185" s="32" t="s">
        <v>29</v>
      </c>
      <c r="D185" s="43"/>
      <c r="E185" s="32"/>
      <c r="F185" s="32"/>
      <c r="G185" s="32"/>
      <c r="H185" s="33"/>
    </row>
    <row r="186" spans="2:9" x14ac:dyDescent="0.35">
      <c r="B186" s="23"/>
      <c r="C186" s="2"/>
      <c r="D186" s="2"/>
      <c r="E186" s="2"/>
      <c r="F186" s="2"/>
      <c r="G186" s="2"/>
      <c r="H186" s="24"/>
    </row>
    <row r="187" spans="2:9" x14ac:dyDescent="0.35">
      <c r="B187" s="23"/>
      <c r="C187" s="464" t="s">
        <v>275</v>
      </c>
      <c r="D187" s="464"/>
      <c r="E187" s="464"/>
      <c r="F187" s="464" t="s">
        <v>540</v>
      </c>
      <c r="G187" s="464"/>
      <c r="H187" s="466"/>
    </row>
    <row r="188" spans="2:9" x14ac:dyDescent="0.35">
      <c r="B188" s="23"/>
      <c r="C188" s="39" t="s">
        <v>271</v>
      </c>
      <c r="D188" s="39" t="s">
        <v>272</v>
      </c>
      <c r="E188" s="39" t="s">
        <v>273</v>
      </c>
      <c r="F188" s="39" t="s">
        <v>271</v>
      </c>
      <c r="G188" s="39" t="s">
        <v>272</v>
      </c>
      <c r="H188" s="333" t="s">
        <v>273</v>
      </c>
    </row>
    <row r="189" spans="2:9" x14ac:dyDescent="0.35">
      <c r="B189" s="25">
        <v>2015</v>
      </c>
      <c r="C189" s="114">
        <v>9.6478120547375799</v>
      </c>
      <c r="D189" s="114">
        <v>9.6478120547375799</v>
      </c>
      <c r="E189" s="114">
        <v>9.6478120547375799</v>
      </c>
      <c r="F189" s="114">
        <v>3.708095117279127</v>
      </c>
      <c r="G189" s="114">
        <v>3.708095117279127</v>
      </c>
      <c r="H189" s="136">
        <v>3.708095117279127</v>
      </c>
    </row>
    <row r="190" spans="2:9" x14ac:dyDescent="0.35">
      <c r="B190" s="25">
        <v>2016</v>
      </c>
      <c r="C190" s="114">
        <v>10.096070771994183</v>
      </c>
      <c r="D190" s="114">
        <v>10.154512892262925</v>
      </c>
      <c r="E190" s="114">
        <v>10.213801486131352</v>
      </c>
      <c r="F190" s="114">
        <v>4.0577652187748612</v>
      </c>
      <c r="G190" s="114">
        <v>4.1162090044280664</v>
      </c>
      <c r="H190" s="136">
        <v>4.1754992878023005</v>
      </c>
    </row>
    <row r="191" spans="2:9" x14ac:dyDescent="0.35">
      <c r="B191" s="25">
        <v>2017</v>
      </c>
      <c r="C191" s="114">
        <v>9.9934349998213694</v>
      </c>
      <c r="D191" s="114">
        <v>10.300129323800805</v>
      </c>
      <c r="E191" s="114">
        <v>10.503485980607342</v>
      </c>
      <c r="F191" s="114">
        <v>4.0537180623628695</v>
      </c>
      <c r="G191" s="114">
        <v>4.360412386342329</v>
      </c>
      <c r="H191" s="136">
        <v>4.563769043148838</v>
      </c>
    </row>
    <row r="192" spans="2:9" x14ac:dyDescent="0.35">
      <c r="B192" s="25">
        <v>2018</v>
      </c>
      <c r="C192" s="114">
        <v>10.205676825694177</v>
      </c>
      <c r="D192" s="114">
        <v>10.693501810591243</v>
      </c>
      <c r="E192" s="114">
        <v>10.708165262958646</v>
      </c>
      <c r="F192" s="114">
        <v>4.2659598882357308</v>
      </c>
      <c r="G192" s="114">
        <v>4.7537848731327852</v>
      </c>
      <c r="H192" s="136">
        <v>4.7684483255001995</v>
      </c>
    </row>
    <row r="193" spans="2:8" x14ac:dyDescent="0.35">
      <c r="B193" s="25">
        <v>2019</v>
      </c>
      <c r="C193" s="114">
        <v>10.081168564624305</v>
      </c>
      <c r="D193" s="114">
        <v>10.554755665863917</v>
      </c>
      <c r="E193" s="114">
        <v>10.759242261147225</v>
      </c>
      <c r="F193" s="114">
        <v>4.1414516271658277</v>
      </c>
      <c r="G193" s="114">
        <v>4.6150387284054277</v>
      </c>
      <c r="H193" s="136">
        <v>4.8195253236887421</v>
      </c>
    </row>
    <row r="194" spans="2:8" x14ac:dyDescent="0.35">
      <c r="B194" s="25">
        <v>2020</v>
      </c>
      <c r="C194" s="114">
        <v>3.4159360361087963</v>
      </c>
      <c r="D194" s="114">
        <v>3.8625051860644062</v>
      </c>
      <c r="E194" s="114">
        <v>4.4910259305704248</v>
      </c>
      <c r="F194" s="114">
        <v>3.9051834982092819</v>
      </c>
      <c r="G194" s="114">
        <v>4.3517526481648661</v>
      </c>
      <c r="H194" s="136">
        <v>4.9802733926709184</v>
      </c>
    </row>
    <row r="195" spans="2:8" x14ac:dyDescent="0.35">
      <c r="B195" s="25">
        <v>2021</v>
      </c>
      <c r="C195" s="114">
        <v>3.4978400326055432</v>
      </c>
      <c r="D195" s="114">
        <v>4.1341883607705157</v>
      </c>
      <c r="E195" s="114">
        <v>4.7244604602613753</v>
      </c>
      <c r="F195" s="114">
        <v>3.9852421267365123</v>
      </c>
      <c r="G195" s="114">
        <v>4.6215904549014919</v>
      </c>
      <c r="H195" s="136">
        <v>5.2118625543923267</v>
      </c>
    </row>
    <row r="196" spans="2:8" x14ac:dyDescent="0.35">
      <c r="B196" s="25">
        <v>2022</v>
      </c>
      <c r="C196" s="114">
        <v>3.5877283764013597</v>
      </c>
      <c r="D196" s="114">
        <v>4.2884003177818375</v>
      </c>
      <c r="E196" s="114">
        <v>5.0279879815116795</v>
      </c>
      <c r="F196" s="114">
        <v>4.0751304705323133</v>
      </c>
      <c r="G196" s="114">
        <v>4.7758024119128084</v>
      </c>
      <c r="H196" s="136">
        <v>5.5153900756427063</v>
      </c>
    </row>
    <row r="197" spans="2:8" x14ac:dyDescent="0.35">
      <c r="B197" s="25">
        <v>2023</v>
      </c>
      <c r="C197" s="114">
        <v>3.6722761448140466</v>
      </c>
      <c r="D197" s="114">
        <v>4.4233961588242279</v>
      </c>
      <c r="E197" s="114">
        <v>5.3168420098575258</v>
      </c>
      <c r="F197" s="114">
        <v>4.1596782389450446</v>
      </c>
      <c r="G197" s="114">
        <v>4.9107982529552121</v>
      </c>
      <c r="H197" s="136">
        <v>5.8042441039884585</v>
      </c>
    </row>
    <row r="198" spans="2:8" x14ac:dyDescent="0.35">
      <c r="B198" s="25">
        <v>2024</v>
      </c>
      <c r="C198" s="114">
        <v>3.7667036932604723</v>
      </c>
      <c r="D198" s="114">
        <v>4.6014094931455194</v>
      </c>
      <c r="E198" s="114">
        <v>5.6271917263504205</v>
      </c>
      <c r="F198" s="114">
        <v>4.2559511553609415</v>
      </c>
      <c r="G198" s="114">
        <v>5.0906569552459642</v>
      </c>
      <c r="H198" s="136">
        <v>6.1164391884509168</v>
      </c>
    </row>
    <row r="199" spans="2:8" x14ac:dyDescent="0.35">
      <c r="B199" s="25">
        <v>2025</v>
      </c>
      <c r="C199" s="114">
        <v>3.8280761958391532</v>
      </c>
      <c r="D199" s="114">
        <v>4.6962484001498979</v>
      </c>
      <c r="E199" s="114">
        <v>6.008243507573801</v>
      </c>
      <c r="F199" s="114">
        <v>4.3154782899701436</v>
      </c>
      <c r="G199" s="114">
        <v>5.1836504942808483</v>
      </c>
      <c r="H199" s="136">
        <v>6.495645601704755</v>
      </c>
    </row>
    <row r="200" spans="2:8" x14ac:dyDescent="0.35">
      <c r="B200" s="25">
        <v>2026</v>
      </c>
      <c r="C200" s="114">
        <v>3.8998667648840595</v>
      </c>
      <c r="D200" s="114">
        <v>4.8222720686361882</v>
      </c>
      <c r="E200" s="114">
        <v>6.3255968954199888</v>
      </c>
      <c r="F200" s="114">
        <v>4.3872688590150384</v>
      </c>
      <c r="G200" s="114">
        <v>5.3096741627671458</v>
      </c>
      <c r="H200" s="136">
        <v>6.8129989895509988</v>
      </c>
    </row>
    <row r="201" spans="2:8" x14ac:dyDescent="0.35">
      <c r="B201" s="25">
        <v>2027</v>
      </c>
      <c r="C201" s="114">
        <v>3.9670651412127134</v>
      </c>
      <c r="D201" s="114">
        <v>4.9477332119428032</v>
      </c>
      <c r="E201" s="114">
        <v>6.5986296611035939</v>
      </c>
      <c r="F201" s="114">
        <v>4.4544672353436932</v>
      </c>
      <c r="G201" s="114">
        <v>5.435135306073807</v>
      </c>
      <c r="H201" s="136">
        <v>7.0860317552345817</v>
      </c>
    </row>
    <row r="202" spans="2:8" x14ac:dyDescent="0.35">
      <c r="B202" s="25">
        <v>2028</v>
      </c>
      <c r="C202" s="114">
        <v>4.0454822220706701</v>
      </c>
      <c r="D202" s="114">
        <v>5.0737830384768516</v>
      </c>
      <c r="E202" s="114">
        <v>6.875009370497934</v>
      </c>
      <c r="F202" s="114">
        <v>4.5347296841711167</v>
      </c>
      <c r="G202" s="114">
        <v>5.5630305005773417</v>
      </c>
      <c r="H202" s="136">
        <v>7.3642568325984339</v>
      </c>
    </row>
    <row r="203" spans="2:8" x14ac:dyDescent="0.35">
      <c r="B203" s="25">
        <v>2029</v>
      </c>
      <c r="C203" s="114">
        <v>4.0862058497733793</v>
      </c>
      <c r="D203" s="114">
        <v>5.2337529965341911</v>
      </c>
      <c r="E203" s="114">
        <v>7.0228386461282346</v>
      </c>
      <c r="F203" s="114">
        <v>4.573607943904344</v>
      </c>
      <c r="G203" s="114">
        <v>5.7211550906651851</v>
      </c>
      <c r="H203" s="136">
        <v>7.5102407402592322</v>
      </c>
    </row>
    <row r="204" spans="2:8" x14ac:dyDescent="0.35">
      <c r="B204" s="26">
        <v>2030</v>
      </c>
      <c r="C204" s="115">
        <v>4.1371511241626981</v>
      </c>
      <c r="D204" s="115">
        <v>5.4898428134948745</v>
      </c>
      <c r="E204" s="115">
        <v>7.2585494280490348</v>
      </c>
      <c r="F204" s="115">
        <v>4.6245532182936921</v>
      </c>
      <c r="G204" s="115">
        <v>5.9772449076258338</v>
      </c>
      <c r="H204" s="334">
        <v>7.7459515221799897</v>
      </c>
    </row>
    <row r="206" spans="2:8" x14ac:dyDescent="0.35">
      <c r="B206" s="29" t="s">
        <v>511</v>
      </c>
      <c r="C206" s="30"/>
      <c r="D206" s="42"/>
      <c r="E206" s="30"/>
      <c r="F206" s="30"/>
      <c r="G206" s="30"/>
      <c r="H206" s="31"/>
    </row>
    <row r="207" spans="2:8" x14ac:dyDescent="0.35">
      <c r="B207" s="40" t="s">
        <v>5</v>
      </c>
      <c r="C207" s="32" t="s">
        <v>472</v>
      </c>
      <c r="D207" s="43"/>
      <c r="E207" s="32"/>
      <c r="F207" s="32"/>
      <c r="G207" s="32"/>
      <c r="H207" s="33"/>
    </row>
    <row r="208" spans="2:8" x14ac:dyDescent="0.35">
      <c r="B208" s="40" t="s">
        <v>6</v>
      </c>
      <c r="C208" s="99" t="s">
        <v>279</v>
      </c>
      <c r="D208" s="43"/>
      <c r="E208" s="32"/>
      <c r="F208" s="32"/>
      <c r="G208" s="32"/>
      <c r="H208" s="33"/>
    </row>
    <row r="209" spans="2:8" x14ac:dyDescent="0.35">
      <c r="B209" s="40" t="s">
        <v>7</v>
      </c>
      <c r="C209" s="32" t="s">
        <v>29</v>
      </c>
      <c r="D209" s="43"/>
      <c r="E209" s="32"/>
      <c r="F209" s="32"/>
      <c r="G209" s="32"/>
      <c r="H209" s="33"/>
    </row>
    <row r="210" spans="2:8" x14ac:dyDescent="0.35">
      <c r="B210" s="23"/>
      <c r="C210" s="2"/>
      <c r="D210" s="2"/>
      <c r="E210" s="2"/>
      <c r="F210" s="2"/>
      <c r="G210" s="2"/>
      <c r="H210" s="24"/>
    </row>
    <row r="211" spans="2:8" x14ac:dyDescent="0.35">
      <c r="B211" s="23"/>
      <c r="C211" s="2"/>
      <c r="D211" s="2"/>
      <c r="E211" s="37"/>
      <c r="F211" s="331">
        <v>2020</v>
      </c>
      <c r="G211" s="331">
        <v>2030</v>
      </c>
      <c r="H211" s="24"/>
    </row>
    <row r="212" spans="2:8" x14ac:dyDescent="0.35">
      <c r="B212" s="23" t="s">
        <v>530</v>
      </c>
      <c r="C212" s="2"/>
      <c r="D212" s="2"/>
      <c r="E212" s="331"/>
      <c r="F212" s="140">
        <v>0.25</v>
      </c>
      <c r="G212" s="140">
        <v>0.43333333333333335</v>
      </c>
      <c r="H212" s="24"/>
    </row>
    <row r="213" spans="2:8" x14ac:dyDescent="0.35">
      <c r="B213" s="23" t="s">
        <v>531</v>
      </c>
      <c r="C213" s="2"/>
      <c r="D213" s="2"/>
      <c r="E213" s="331"/>
      <c r="F213" s="281">
        <v>70.814556785034611</v>
      </c>
      <c r="G213" s="281">
        <v>53.504331793137261</v>
      </c>
      <c r="H213" s="24"/>
    </row>
    <row r="214" spans="2:8" x14ac:dyDescent="0.35">
      <c r="B214" s="23"/>
      <c r="C214" s="2"/>
      <c r="D214" s="2"/>
      <c r="E214" s="331"/>
      <c r="F214" s="281"/>
      <c r="G214" s="281"/>
      <c r="H214" s="24"/>
    </row>
    <row r="215" spans="2:8" x14ac:dyDescent="0.35">
      <c r="B215" s="23" t="s">
        <v>532</v>
      </c>
      <c r="C215" s="2"/>
      <c r="D215" s="2"/>
      <c r="E215" s="331"/>
      <c r="F215" s="281">
        <v>9.3483759259796972</v>
      </c>
      <c r="G215" s="281">
        <v>7.9415936614107201</v>
      </c>
      <c r="H215" s="24"/>
    </row>
    <row r="216" spans="2:8" x14ac:dyDescent="0.35">
      <c r="B216" s="23" t="s">
        <v>533</v>
      </c>
      <c r="C216" s="2"/>
      <c r="D216" s="2"/>
      <c r="E216" s="331"/>
      <c r="F216" s="281">
        <v>31.777534170684977</v>
      </c>
      <c r="G216" s="281">
        <v>26.489719260393059</v>
      </c>
      <c r="H216" s="24"/>
    </row>
    <row r="217" spans="2:8" x14ac:dyDescent="0.35">
      <c r="B217" s="23"/>
      <c r="C217" s="2"/>
      <c r="D217" s="2"/>
      <c r="E217" s="331"/>
      <c r="F217" s="281"/>
      <c r="G217" s="281"/>
      <c r="H217" s="24"/>
    </row>
    <row r="218" spans="2:8" x14ac:dyDescent="0.35">
      <c r="B218" s="23" t="s">
        <v>534</v>
      </c>
      <c r="C218" s="2"/>
      <c r="D218" s="2"/>
      <c r="E218" s="331"/>
      <c r="F218" s="281">
        <v>29.688646688369953</v>
      </c>
      <c r="G218" s="281">
        <v>19.073018871333499</v>
      </c>
      <c r="H218" s="24"/>
    </row>
    <row r="219" spans="2:8" x14ac:dyDescent="0.35">
      <c r="B219" s="23"/>
      <c r="C219" s="2"/>
      <c r="D219" s="2"/>
      <c r="E219" s="331"/>
      <c r="F219" s="281"/>
      <c r="G219" s="281"/>
      <c r="H219" s="24"/>
    </row>
    <row r="220" spans="2:8" x14ac:dyDescent="0.35">
      <c r="B220" s="23" t="s">
        <v>535</v>
      </c>
      <c r="C220" s="2"/>
      <c r="D220" s="2"/>
      <c r="E220" s="331"/>
      <c r="F220" s="281">
        <v>6.3621504275753846</v>
      </c>
      <c r="G220" s="281">
        <v>0.39629770916736745</v>
      </c>
      <c r="H220" s="24"/>
    </row>
    <row r="221" spans="2:8" x14ac:dyDescent="0.35">
      <c r="B221" s="23"/>
      <c r="C221" s="2"/>
      <c r="D221" s="2"/>
      <c r="E221" s="331"/>
      <c r="F221" s="281"/>
      <c r="G221" s="281"/>
      <c r="H221" s="24"/>
    </row>
    <row r="222" spans="2:8" x14ac:dyDescent="0.35">
      <c r="B222" s="23" t="s">
        <v>536</v>
      </c>
      <c r="C222" s="2"/>
      <c r="D222" s="2"/>
      <c r="E222" s="331"/>
      <c r="F222" s="281">
        <v>23.326496260794567</v>
      </c>
      <c r="G222" s="281">
        <v>18.676721162166132</v>
      </c>
      <c r="H222" s="24"/>
    </row>
    <row r="223" spans="2:8" x14ac:dyDescent="0.35">
      <c r="B223" s="23"/>
      <c r="C223" s="2"/>
      <c r="D223" s="2"/>
      <c r="E223" s="331"/>
      <c r="F223" s="331"/>
      <c r="G223" s="331"/>
      <c r="H223" s="24"/>
    </row>
    <row r="224" spans="2:8" x14ac:dyDescent="0.35">
      <c r="B224" s="23"/>
      <c r="C224" s="2"/>
      <c r="D224" s="2"/>
      <c r="E224" s="331" t="s">
        <v>32</v>
      </c>
      <c r="F224" s="331">
        <v>2020</v>
      </c>
      <c r="G224" s="331">
        <v>2030</v>
      </c>
      <c r="H224" s="24"/>
    </row>
    <row r="225" spans="2:8" x14ac:dyDescent="0.35">
      <c r="B225" s="23" t="s">
        <v>497</v>
      </c>
      <c r="C225" s="2"/>
      <c r="D225" s="2"/>
      <c r="E225" s="39" t="s">
        <v>281</v>
      </c>
      <c r="F225" s="321">
        <v>9.5800444118697126</v>
      </c>
      <c r="G225" s="321">
        <v>8.0173261660936195</v>
      </c>
      <c r="H225" s="24"/>
    </row>
    <row r="226" spans="2:8" x14ac:dyDescent="0.35">
      <c r="B226" s="23" t="s">
        <v>498</v>
      </c>
      <c r="C226" s="2"/>
      <c r="D226" s="2"/>
      <c r="E226" s="39" t="s">
        <v>281</v>
      </c>
      <c r="F226" s="321">
        <v>13.746451848924854</v>
      </c>
      <c r="G226" s="321">
        <v>10.659394996072512</v>
      </c>
      <c r="H226" s="24"/>
    </row>
    <row r="227" spans="2:8" x14ac:dyDescent="0.35">
      <c r="B227" s="23" t="s">
        <v>280</v>
      </c>
      <c r="C227" s="2"/>
      <c r="D227" s="2"/>
      <c r="E227" s="39" t="s">
        <v>281</v>
      </c>
      <c r="F227" s="323">
        <f>SUM(F225:F226)</f>
        <v>23.326496260794567</v>
      </c>
      <c r="G227" s="323">
        <f>SUM(G225:G226)</f>
        <v>18.676721162166132</v>
      </c>
      <c r="H227" s="24"/>
    </row>
    <row r="228" spans="2:8" x14ac:dyDescent="0.35">
      <c r="B228" s="23" t="s">
        <v>499</v>
      </c>
      <c r="C228" s="2"/>
      <c r="D228" s="2"/>
      <c r="E228" s="39" t="s">
        <v>281</v>
      </c>
      <c r="F228" s="321">
        <v>12.324742901839176</v>
      </c>
      <c r="G228" s="321">
        <v>12.96003774720403</v>
      </c>
      <c r="H228" s="24"/>
    </row>
    <row r="229" spans="2:8" x14ac:dyDescent="0.35">
      <c r="B229" s="23" t="s">
        <v>500</v>
      </c>
      <c r="C229" s="2"/>
      <c r="D229" s="2"/>
      <c r="E229" s="39" t="s">
        <v>281</v>
      </c>
      <c r="F229" s="321">
        <v>23.612174754891029</v>
      </c>
      <c r="G229" s="321">
        <v>25.287658709565576</v>
      </c>
      <c r="H229" s="24"/>
    </row>
    <row r="230" spans="2:8" x14ac:dyDescent="0.35">
      <c r="B230" s="60" t="s">
        <v>501</v>
      </c>
      <c r="C230" s="27"/>
      <c r="D230" s="27"/>
      <c r="E230" s="48" t="s">
        <v>281</v>
      </c>
      <c r="F230" s="320">
        <f>SUM(F228:F229)</f>
        <v>35.936917656730202</v>
      </c>
      <c r="G230" s="320">
        <f>SUM(G228:G229)</f>
        <v>38.247696456769603</v>
      </c>
      <c r="H230" s="28"/>
    </row>
    <row r="232" spans="2:8" x14ac:dyDescent="0.35">
      <c r="B232" s="29" t="s">
        <v>512</v>
      </c>
      <c r="C232" s="30"/>
      <c r="D232" s="42"/>
      <c r="E232" s="42"/>
      <c r="F232" s="137"/>
    </row>
    <row r="233" spans="2:8" x14ac:dyDescent="0.35">
      <c r="B233" s="40" t="s">
        <v>5</v>
      </c>
      <c r="C233" s="32" t="s">
        <v>301</v>
      </c>
      <c r="D233" s="43"/>
      <c r="E233" s="43"/>
      <c r="F233" s="138"/>
    </row>
    <row r="234" spans="2:8" x14ac:dyDescent="0.35">
      <c r="B234" s="40" t="s">
        <v>6</v>
      </c>
      <c r="C234" s="99" t="s">
        <v>17</v>
      </c>
      <c r="D234" s="43"/>
      <c r="E234" s="43"/>
      <c r="F234" s="138"/>
    </row>
    <row r="235" spans="2:8" x14ac:dyDescent="0.35">
      <c r="B235" s="40" t="s">
        <v>7</v>
      </c>
      <c r="C235" s="32" t="s">
        <v>29</v>
      </c>
      <c r="D235" s="43"/>
      <c r="E235" s="43"/>
      <c r="F235" s="138"/>
    </row>
    <row r="236" spans="2:8" x14ac:dyDescent="0.35">
      <c r="B236" s="23"/>
      <c r="C236" s="2"/>
      <c r="D236" s="2"/>
      <c r="E236" s="2"/>
      <c r="F236" s="24"/>
    </row>
    <row r="237" spans="2:8" x14ac:dyDescent="0.35">
      <c r="B237" s="23"/>
      <c r="C237" s="37" t="s">
        <v>314</v>
      </c>
      <c r="D237" s="37" t="s">
        <v>315</v>
      </c>
      <c r="E237" s="2"/>
      <c r="F237" s="24"/>
    </row>
    <row r="238" spans="2:8" x14ac:dyDescent="0.35">
      <c r="B238" s="25" t="s">
        <v>304</v>
      </c>
      <c r="C238" s="139">
        <v>26295666.131297864</v>
      </c>
      <c r="D238" s="140">
        <f>C238/SUM($C$238:$C$249)</f>
        <v>0.16826265432206472</v>
      </c>
      <c r="E238" s="2"/>
      <c r="F238" s="24"/>
    </row>
    <row r="239" spans="2:8" x14ac:dyDescent="0.35">
      <c r="B239" s="25" t="s">
        <v>305</v>
      </c>
      <c r="C239" s="139">
        <v>22839006.796082515</v>
      </c>
      <c r="D239" s="140">
        <f t="shared" ref="D239:D249" si="9">C239/SUM($C$238:$C$249)</f>
        <v>0.14614392677485841</v>
      </c>
      <c r="E239" s="2"/>
      <c r="F239" s="24"/>
    </row>
    <row r="240" spans="2:8" x14ac:dyDescent="0.35">
      <c r="B240" s="25" t="s">
        <v>306</v>
      </c>
      <c r="C240" s="139">
        <v>20455559.554830164</v>
      </c>
      <c r="D240" s="140">
        <f t="shared" si="9"/>
        <v>0.13089254819227183</v>
      </c>
      <c r="E240" s="2"/>
      <c r="F240" s="24"/>
    </row>
    <row r="241" spans="2:11" x14ac:dyDescent="0.35">
      <c r="B241" s="25" t="s">
        <v>307</v>
      </c>
      <c r="C241" s="139">
        <v>13272719.885074247</v>
      </c>
      <c r="D241" s="140">
        <f t="shared" si="9"/>
        <v>8.4930462182804353E-2</v>
      </c>
      <c r="E241" s="2"/>
      <c r="F241" s="24"/>
    </row>
    <row r="242" spans="2:11" x14ac:dyDescent="0.35">
      <c r="B242" s="25" t="s">
        <v>308</v>
      </c>
      <c r="C242" s="139">
        <v>7905148.6545126289</v>
      </c>
      <c r="D242" s="140">
        <f t="shared" si="9"/>
        <v>5.058405019204365E-2</v>
      </c>
      <c r="E242" s="2"/>
      <c r="F242" s="24"/>
    </row>
    <row r="243" spans="2:11" x14ac:dyDescent="0.35">
      <c r="B243" s="25" t="s">
        <v>309</v>
      </c>
      <c r="C243" s="139">
        <v>5052499.9962362871</v>
      </c>
      <c r="D243" s="140">
        <f t="shared" si="9"/>
        <v>3.2330310861266601E-2</v>
      </c>
      <c r="E243" s="2"/>
      <c r="F243" s="24"/>
    </row>
    <row r="244" spans="2:11" x14ac:dyDescent="0.35">
      <c r="B244" s="25" t="s">
        <v>310</v>
      </c>
      <c r="C244" s="139">
        <v>4246849.1698344871</v>
      </c>
      <c r="D244" s="140">
        <f t="shared" si="9"/>
        <v>2.7175052735069781E-2</v>
      </c>
      <c r="E244" s="2"/>
      <c r="F244" s="24"/>
    </row>
    <row r="245" spans="2:11" x14ac:dyDescent="0.35">
      <c r="B245" s="25" t="s">
        <v>311</v>
      </c>
      <c r="C245" s="139">
        <v>4332129.3850433966</v>
      </c>
      <c r="D245" s="140">
        <f t="shared" si="9"/>
        <v>2.7720750086890386E-2</v>
      </c>
      <c r="E245" s="2"/>
      <c r="F245" s="24"/>
    </row>
    <row r="246" spans="2:11" x14ac:dyDescent="0.35">
      <c r="B246" s="25" t="s">
        <v>312</v>
      </c>
      <c r="C246" s="139">
        <v>5204495.556759147</v>
      </c>
      <c r="D246" s="140">
        <f t="shared" si="9"/>
        <v>3.3302911301622287E-2</v>
      </c>
      <c r="E246" s="2"/>
      <c r="F246" s="24"/>
    </row>
    <row r="247" spans="2:11" x14ac:dyDescent="0.35">
      <c r="B247" s="25" t="s">
        <v>313</v>
      </c>
      <c r="C247" s="139">
        <v>9238504.835692564</v>
      </c>
      <c r="D247" s="140">
        <f t="shared" si="9"/>
        <v>5.9116028392627626E-2</v>
      </c>
      <c r="E247" s="2"/>
      <c r="F247" s="24"/>
    </row>
    <row r="248" spans="2:11" x14ac:dyDescent="0.35">
      <c r="B248" s="25" t="s">
        <v>302</v>
      </c>
      <c r="C248" s="139">
        <v>14683484.417273644</v>
      </c>
      <c r="D248" s="140">
        <f t="shared" si="9"/>
        <v>9.3957766668115006E-2</v>
      </c>
      <c r="E248" s="2"/>
      <c r="F248" s="24"/>
    </row>
    <row r="249" spans="2:11" x14ac:dyDescent="0.35">
      <c r="B249" s="26" t="s">
        <v>303</v>
      </c>
      <c r="C249" s="141">
        <v>22751430.687459789</v>
      </c>
      <c r="D249" s="142">
        <f t="shared" si="9"/>
        <v>0.14558353829036519</v>
      </c>
      <c r="E249" s="27"/>
      <c r="F249" s="28"/>
    </row>
    <row r="250" spans="2:11" x14ac:dyDescent="0.35">
      <c r="B250" s="113"/>
    </row>
    <row r="251" spans="2:11" x14ac:dyDescent="0.35">
      <c r="B251" s="29" t="s">
        <v>513</v>
      </c>
      <c r="C251" s="30"/>
      <c r="D251" s="42"/>
      <c r="E251" s="42"/>
      <c r="F251" s="42"/>
      <c r="G251" s="42"/>
      <c r="H251" s="42"/>
      <c r="I251" s="42"/>
      <c r="J251" s="42"/>
      <c r="K251" s="137"/>
    </row>
    <row r="252" spans="2:11" x14ac:dyDescent="0.35">
      <c r="B252" s="40" t="s">
        <v>5</v>
      </c>
      <c r="C252" s="32" t="s">
        <v>477</v>
      </c>
      <c r="D252" s="43"/>
      <c r="E252" s="43"/>
      <c r="F252" s="43"/>
      <c r="G252" s="43"/>
      <c r="H252" s="43"/>
      <c r="I252" s="43"/>
      <c r="J252" s="43"/>
      <c r="K252" s="138"/>
    </row>
    <row r="253" spans="2:11" x14ac:dyDescent="0.35">
      <c r="B253" s="40" t="s">
        <v>6</v>
      </c>
      <c r="C253" s="99" t="s">
        <v>478</v>
      </c>
      <c r="D253" s="43"/>
      <c r="E253" s="43"/>
      <c r="F253" s="43"/>
      <c r="G253" s="43"/>
      <c r="H253" s="43"/>
      <c r="I253" s="43"/>
      <c r="J253" s="43"/>
      <c r="K253" s="138"/>
    </row>
    <row r="254" spans="2:11" x14ac:dyDescent="0.35">
      <c r="B254" s="40" t="s">
        <v>7</v>
      </c>
      <c r="C254" s="32" t="s">
        <v>29</v>
      </c>
      <c r="D254" s="43"/>
      <c r="E254" s="43"/>
      <c r="F254" s="43"/>
      <c r="G254" s="43"/>
      <c r="H254" s="43"/>
      <c r="I254" s="43"/>
      <c r="J254" s="43"/>
      <c r="K254" s="138"/>
    </row>
    <row r="255" spans="2:11" x14ac:dyDescent="0.35">
      <c r="B255" s="23"/>
      <c r="C255" s="2"/>
      <c r="D255" s="2"/>
      <c r="E255" s="2"/>
      <c r="F255" s="2"/>
      <c r="G255" s="2"/>
      <c r="H255" s="2"/>
      <c r="I255" s="2"/>
      <c r="J255" s="2"/>
      <c r="K255" s="24"/>
    </row>
    <row r="256" spans="2:11" x14ac:dyDescent="0.35">
      <c r="B256" s="23"/>
      <c r="C256" s="2"/>
      <c r="D256" s="78"/>
      <c r="E256" s="300" t="s">
        <v>485</v>
      </c>
      <c r="F256" s="78"/>
      <c r="G256" s="2"/>
      <c r="H256" s="2"/>
      <c r="I256" s="2"/>
      <c r="J256" s="2"/>
      <c r="K256" s="24"/>
    </row>
    <row r="257" spans="2:11" x14ac:dyDescent="0.35">
      <c r="B257" s="23" t="s">
        <v>483</v>
      </c>
      <c r="C257" s="2"/>
      <c r="D257" s="78"/>
      <c r="E257" s="314">
        <v>8.5863708642047065E-2</v>
      </c>
      <c r="F257" s="78"/>
      <c r="G257" s="2"/>
      <c r="H257" s="2"/>
      <c r="I257" s="2"/>
      <c r="J257" s="2"/>
      <c r="K257" s="24"/>
    </row>
    <row r="258" spans="2:11" x14ac:dyDescent="0.35">
      <c r="B258" s="23"/>
      <c r="C258" s="2"/>
      <c r="D258" s="78"/>
      <c r="E258" s="78"/>
      <c r="F258" s="78"/>
      <c r="G258" s="2"/>
      <c r="H258" s="2"/>
      <c r="I258" s="2"/>
      <c r="J258" s="2"/>
      <c r="K258" s="24"/>
    </row>
    <row r="259" spans="2:11" x14ac:dyDescent="0.35">
      <c r="B259" s="23"/>
      <c r="C259" s="2"/>
      <c r="D259" s="300"/>
      <c r="E259" s="465" t="s">
        <v>484</v>
      </c>
      <c r="F259" s="465" t="s">
        <v>566</v>
      </c>
      <c r="G259" s="2"/>
      <c r="H259" s="2"/>
      <c r="I259" s="2"/>
      <c r="J259" s="2"/>
      <c r="K259" s="24"/>
    </row>
    <row r="260" spans="2:11" x14ac:dyDescent="0.35">
      <c r="B260" s="23" t="s">
        <v>482</v>
      </c>
      <c r="C260" s="2"/>
      <c r="D260" s="300" t="s">
        <v>481</v>
      </c>
      <c r="E260" s="465"/>
      <c r="F260" s="465"/>
      <c r="G260" s="2"/>
      <c r="H260" s="2"/>
      <c r="I260" s="2"/>
      <c r="J260" s="2"/>
      <c r="K260" s="24"/>
    </row>
    <row r="261" spans="2:11" x14ac:dyDescent="0.35">
      <c r="B261" s="23" t="s">
        <v>479</v>
      </c>
      <c r="C261" s="2"/>
      <c r="D261" s="78">
        <v>2018</v>
      </c>
      <c r="E261" s="78">
        <v>1.5</v>
      </c>
      <c r="F261" s="315">
        <f>E261*1000*$E$257</f>
        <v>128.79556296307061</v>
      </c>
      <c r="G261" s="2"/>
      <c r="H261" s="2"/>
      <c r="I261" s="2"/>
      <c r="J261" s="2"/>
      <c r="K261" s="24"/>
    </row>
    <row r="262" spans="2:11" x14ac:dyDescent="0.35">
      <c r="B262" s="60" t="s">
        <v>480</v>
      </c>
      <c r="C262" s="27"/>
      <c r="D262" s="128">
        <v>2022</v>
      </c>
      <c r="E262" s="128">
        <v>2.2000000000000002</v>
      </c>
      <c r="F262" s="316">
        <f>E262*1000*$E$257</f>
        <v>188.90015901250354</v>
      </c>
      <c r="G262" s="27"/>
      <c r="H262" s="27"/>
      <c r="I262" s="27"/>
      <c r="J262" s="27"/>
      <c r="K262" s="28"/>
    </row>
    <row r="264" spans="2:11" x14ac:dyDescent="0.35">
      <c r="B264" s="29" t="s">
        <v>541</v>
      </c>
      <c r="C264" s="30"/>
      <c r="D264" s="42"/>
      <c r="E264" s="42"/>
      <c r="F264" s="42"/>
      <c r="G264" s="42"/>
      <c r="H264" s="137"/>
    </row>
    <row r="265" spans="2:11" x14ac:dyDescent="0.35">
      <c r="B265" s="40" t="s">
        <v>5</v>
      </c>
      <c r="C265" s="99" t="s">
        <v>279</v>
      </c>
      <c r="D265" s="43"/>
      <c r="E265" s="43"/>
      <c r="F265" s="43"/>
      <c r="G265" s="43"/>
      <c r="H265" s="138"/>
    </row>
    <row r="266" spans="2:11" x14ac:dyDescent="0.35">
      <c r="B266" s="40" t="s">
        <v>6</v>
      </c>
      <c r="C266" s="32" t="s">
        <v>29</v>
      </c>
      <c r="D266" s="43"/>
      <c r="E266" s="43"/>
      <c r="F266" s="43"/>
      <c r="G266" s="43"/>
      <c r="H266" s="138"/>
    </row>
    <row r="267" spans="2:11" x14ac:dyDescent="0.35">
      <c r="B267" s="40" t="s">
        <v>7</v>
      </c>
      <c r="C267" s="32" t="s">
        <v>29</v>
      </c>
      <c r="D267" s="43"/>
      <c r="E267" s="43"/>
      <c r="F267" s="43"/>
      <c r="G267" s="43"/>
      <c r="H267" s="138"/>
    </row>
    <row r="268" spans="2:11" x14ac:dyDescent="0.35">
      <c r="B268" s="23"/>
      <c r="C268" s="2"/>
      <c r="D268" s="2"/>
      <c r="E268" s="2"/>
      <c r="F268" s="2"/>
      <c r="G268" s="2"/>
      <c r="H268" s="24"/>
    </row>
    <row r="269" spans="2:11" x14ac:dyDescent="0.35">
      <c r="B269" s="23"/>
      <c r="C269" s="2"/>
      <c r="D269" s="335" t="s">
        <v>33</v>
      </c>
      <c r="E269" s="335">
        <v>2020</v>
      </c>
      <c r="F269" s="335">
        <v>2030</v>
      </c>
      <c r="G269" s="2"/>
      <c r="H269" s="24"/>
    </row>
    <row r="270" spans="2:11" x14ac:dyDescent="0.35">
      <c r="B270" s="23" t="s">
        <v>542</v>
      </c>
      <c r="C270" s="2"/>
      <c r="D270" s="39" t="s">
        <v>281</v>
      </c>
      <c r="E270" s="337">
        <v>0.90164420920757504</v>
      </c>
      <c r="F270" s="337">
        <v>0.95867601017074311</v>
      </c>
      <c r="G270" s="2"/>
      <c r="H270" s="24"/>
    </row>
    <row r="271" spans="2:11" x14ac:dyDescent="0.35">
      <c r="B271" s="23" t="s">
        <v>543</v>
      </c>
      <c r="C271" s="2"/>
      <c r="D271" s="39" t="s">
        <v>281</v>
      </c>
      <c r="E271" s="337">
        <v>0.18629675708062954</v>
      </c>
      <c r="F271" s="337">
        <v>0.87080445888991043</v>
      </c>
      <c r="G271" s="2"/>
      <c r="H271" s="24"/>
    </row>
    <row r="272" spans="2:11" x14ac:dyDescent="0.35">
      <c r="B272" s="23" t="s">
        <v>544</v>
      </c>
      <c r="C272" s="2"/>
      <c r="D272" s="39" t="s">
        <v>281</v>
      </c>
      <c r="E272" s="338">
        <f>SUM(E270:E271)</f>
        <v>1.0879409662882047</v>
      </c>
      <c r="F272" s="338">
        <f>SUM(F270:F271)</f>
        <v>1.8294804690606536</v>
      </c>
      <c r="G272" s="2"/>
      <c r="H272" s="24"/>
    </row>
    <row r="273" spans="2:8" x14ac:dyDescent="0.35">
      <c r="B273" s="23" t="s">
        <v>545</v>
      </c>
      <c r="C273" s="2"/>
      <c r="D273" s="39" t="s">
        <v>346</v>
      </c>
      <c r="E273" s="332">
        <f>E272/$K$139</f>
        <v>20.505288880408809</v>
      </c>
      <c r="F273" s="332">
        <f>F272/$K$139</f>
        <v>34.481673805467061</v>
      </c>
      <c r="G273" s="2"/>
      <c r="H273" s="24"/>
    </row>
    <row r="274" spans="2:8" x14ac:dyDescent="0.35">
      <c r="B274" s="23" t="s">
        <v>545</v>
      </c>
      <c r="C274" s="2"/>
      <c r="D274" s="39" t="s">
        <v>345</v>
      </c>
      <c r="E274" s="332">
        <f>E273*$E$23*10^3</f>
        <v>12.289995449063724</v>
      </c>
      <c r="F274" s="332">
        <f>F273*$E$23*10^3</f>
        <v>20.666844374486139</v>
      </c>
      <c r="G274" s="2"/>
      <c r="H274" s="24"/>
    </row>
    <row r="275" spans="2:8" x14ac:dyDescent="0.35">
      <c r="B275" s="23"/>
      <c r="C275" s="2"/>
      <c r="D275" s="2"/>
      <c r="E275" s="2"/>
      <c r="F275" s="2"/>
      <c r="G275" s="2"/>
      <c r="H275" s="24"/>
    </row>
    <row r="276" spans="2:8" x14ac:dyDescent="0.35">
      <c r="B276" s="23"/>
      <c r="C276" s="335" t="s">
        <v>528</v>
      </c>
      <c r="D276" s="335" t="s">
        <v>529</v>
      </c>
      <c r="E276" s="2"/>
      <c r="F276" s="2"/>
      <c r="G276" s="2"/>
      <c r="H276" s="24"/>
    </row>
    <row r="277" spans="2:8" x14ac:dyDescent="0.35">
      <c r="B277" s="25">
        <v>2008</v>
      </c>
      <c r="C277" s="339">
        <v>0</v>
      </c>
      <c r="D277" s="339">
        <v>0</v>
      </c>
      <c r="E277" s="2"/>
      <c r="F277" s="2"/>
      <c r="G277" s="2"/>
      <c r="H277" s="24"/>
    </row>
    <row r="278" spans="2:8" x14ac:dyDescent="0.35">
      <c r="B278" s="25">
        <v>2009</v>
      </c>
      <c r="C278" s="332">
        <f>(C$289-C$277)/12+C277</f>
        <v>1.7087740733674008</v>
      </c>
      <c r="D278" s="332">
        <f>(D$289-D$277)/12+D277</f>
        <v>1.024166287421977</v>
      </c>
      <c r="E278" s="2"/>
      <c r="F278" s="2"/>
      <c r="G278" s="2"/>
      <c r="H278" s="24"/>
    </row>
    <row r="279" spans="2:8" x14ac:dyDescent="0.35">
      <c r="B279" s="25">
        <v>2010</v>
      </c>
      <c r="C279" s="332">
        <f t="shared" ref="C279:D288" si="10">(C$289-C$277)/12+C278</f>
        <v>3.4175481467348017</v>
      </c>
      <c r="D279" s="332">
        <f t="shared" si="10"/>
        <v>2.048332574843954</v>
      </c>
      <c r="E279" s="2"/>
      <c r="F279" s="2"/>
      <c r="G279" s="2"/>
      <c r="H279" s="24"/>
    </row>
    <row r="280" spans="2:8" x14ac:dyDescent="0.35">
      <c r="B280" s="25">
        <v>2011</v>
      </c>
      <c r="C280" s="332">
        <f t="shared" si="10"/>
        <v>5.1263222201022023</v>
      </c>
      <c r="D280" s="332">
        <f t="shared" si="10"/>
        <v>3.0724988622659311</v>
      </c>
      <c r="E280" s="2"/>
      <c r="F280" s="2"/>
      <c r="G280" s="2"/>
      <c r="H280" s="24"/>
    </row>
    <row r="281" spans="2:8" x14ac:dyDescent="0.35">
      <c r="B281" s="25">
        <v>2012</v>
      </c>
      <c r="C281" s="332">
        <f t="shared" si="10"/>
        <v>6.8350962934696033</v>
      </c>
      <c r="D281" s="332">
        <f t="shared" si="10"/>
        <v>4.0966651496879081</v>
      </c>
      <c r="E281" s="2"/>
      <c r="F281" s="2"/>
      <c r="G281" s="2"/>
      <c r="H281" s="24"/>
    </row>
    <row r="282" spans="2:8" x14ac:dyDescent="0.35">
      <c r="B282" s="25">
        <v>2013</v>
      </c>
      <c r="C282" s="332">
        <f t="shared" si="10"/>
        <v>8.5438703668370035</v>
      </c>
      <c r="D282" s="332">
        <f t="shared" si="10"/>
        <v>5.1208314371098851</v>
      </c>
      <c r="E282" s="2"/>
      <c r="F282" s="2"/>
      <c r="G282" s="2"/>
      <c r="H282" s="24"/>
    </row>
    <row r="283" spans="2:8" x14ac:dyDescent="0.35">
      <c r="B283" s="25">
        <v>2014</v>
      </c>
      <c r="C283" s="332">
        <f t="shared" si="10"/>
        <v>10.252644440204405</v>
      </c>
      <c r="D283" s="332">
        <f t="shared" si="10"/>
        <v>6.1449977245318621</v>
      </c>
      <c r="E283" s="2"/>
      <c r="F283" s="2"/>
      <c r="G283" s="2"/>
      <c r="H283" s="24"/>
    </row>
    <row r="284" spans="2:8" x14ac:dyDescent="0.35">
      <c r="B284" s="25">
        <v>2015</v>
      </c>
      <c r="C284" s="332">
        <f t="shared" si="10"/>
        <v>11.961418513571806</v>
      </c>
      <c r="D284" s="332">
        <f t="shared" si="10"/>
        <v>7.1691640119538391</v>
      </c>
      <c r="E284" s="2"/>
      <c r="F284" s="2"/>
      <c r="G284" s="2"/>
      <c r="H284" s="24"/>
    </row>
    <row r="285" spans="2:8" x14ac:dyDescent="0.35">
      <c r="B285" s="25">
        <v>2016</v>
      </c>
      <c r="C285" s="332">
        <f t="shared" si="10"/>
        <v>13.670192586939207</v>
      </c>
      <c r="D285" s="332">
        <f t="shared" si="10"/>
        <v>8.1933302993758161</v>
      </c>
      <c r="E285" s="2"/>
      <c r="F285" s="2"/>
      <c r="G285" s="2"/>
      <c r="H285" s="24"/>
    </row>
    <row r="286" spans="2:8" x14ac:dyDescent="0.35">
      <c r="B286" s="25">
        <v>2017</v>
      </c>
      <c r="C286" s="332">
        <f t="shared" si="10"/>
        <v>15.378966660306608</v>
      </c>
      <c r="D286" s="332">
        <f t="shared" si="10"/>
        <v>9.2174965867977932</v>
      </c>
      <c r="E286" s="2"/>
      <c r="F286" s="2"/>
      <c r="G286" s="2"/>
      <c r="H286" s="24"/>
    </row>
    <row r="287" spans="2:8" x14ac:dyDescent="0.35">
      <c r="B287" s="25">
        <v>2018</v>
      </c>
      <c r="C287" s="332">
        <f t="shared" si="10"/>
        <v>17.087740733674007</v>
      </c>
      <c r="D287" s="332">
        <f t="shared" si="10"/>
        <v>10.24166287421977</v>
      </c>
      <c r="E287" s="2"/>
      <c r="F287" s="2"/>
      <c r="G287" s="2"/>
      <c r="H287" s="24"/>
    </row>
    <row r="288" spans="2:8" x14ac:dyDescent="0.35">
      <c r="B288" s="25">
        <v>2019</v>
      </c>
      <c r="C288" s="332">
        <f t="shared" si="10"/>
        <v>18.796514807041408</v>
      </c>
      <c r="D288" s="332">
        <f t="shared" si="10"/>
        <v>11.265829161641747</v>
      </c>
      <c r="E288" s="2"/>
      <c r="F288" s="2"/>
      <c r="G288" s="2"/>
      <c r="H288" s="24"/>
    </row>
    <row r="289" spans="2:8" x14ac:dyDescent="0.35">
      <c r="B289" s="25">
        <v>2020</v>
      </c>
      <c r="C289" s="103">
        <f>$E$273</f>
        <v>20.505288880408809</v>
      </c>
      <c r="D289" s="103">
        <f>$E$274</f>
        <v>12.289995449063724</v>
      </c>
      <c r="E289" s="2"/>
      <c r="F289" s="2"/>
      <c r="G289" s="2"/>
      <c r="H289" s="24"/>
    </row>
    <row r="290" spans="2:8" x14ac:dyDescent="0.35">
      <c r="B290" s="25">
        <v>2021</v>
      </c>
      <c r="C290" s="332">
        <f>(C$299-C$289)/10+C289</f>
        <v>21.902927372914633</v>
      </c>
      <c r="D290" s="332">
        <f>(D$299-D$289)/10+D289</f>
        <v>13.127680341605966</v>
      </c>
      <c r="E290" s="2"/>
      <c r="F290" s="2"/>
      <c r="G290" s="2"/>
      <c r="H290" s="24"/>
    </row>
    <row r="291" spans="2:8" x14ac:dyDescent="0.35">
      <c r="B291" s="25">
        <v>2022</v>
      </c>
      <c r="C291" s="332">
        <f t="shared" ref="C291:D298" si="11">(C$299-C$289)/10+C290</f>
        <v>23.300565865420459</v>
      </c>
      <c r="D291" s="332">
        <f t="shared" si="11"/>
        <v>13.965365234148209</v>
      </c>
      <c r="E291" s="2"/>
      <c r="F291" s="2"/>
      <c r="G291" s="2"/>
      <c r="H291" s="24"/>
    </row>
    <row r="292" spans="2:8" x14ac:dyDescent="0.35">
      <c r="B292" s="25">
        <v>2023</v>
      </c>
      <c r="C292" s="332">
        <f t="shared" si="11"/>
        <v>24.698204357926286</v>
      </c>
      <c r="D292" s="332">
        <f t="shared" si="11"/>
        <v>14.803050126690451</v>
      </c>
      <c r="E292" s="2"/>
      <c r="F292" s="2"/>
      <c r="G292" s="2"/>
      <c r="H292" s="24"/>
    </row>
    <row r="293" spans="2:8" x14ac:dyDescent="0.35">
      <c r="B293" s="25">
        <v>2024</v>
      </c>
      <c r="C293" s="332">
        <f t="shared" si="11"/>
        <v>26.095842850432113</v>
      </c>
      <c r="D293" s="332">
        <f t="shared" si="11"/>
        <v>15.640735019232693</v>
      </c>
      <c r="E293" s="2"/>
      <c r="F293" s="2"/>
      <c r="G293" s="2"/>
      <c r="H293" s="24"/>
    </row>
    <row r="294" spans="2:8" x14ac:dyDescent="0.35">
      <c r="B294" s="25">
        <v>2025</v>
      </c>
      <c r="C294" s="332">
        <f t="shared" si="11"/>
        <v>27.49348134293794</v>
      </c>
      <c r="D294" s="332">
        <f t="shared" si="11"/>
        <v>16.478419911774935</v>
      </c>
      <c r="E294" s="2"/>
      <c r="F294" s="2"/>
      <c r="G294" s="2"/>
      <c r="H294" s="24"/>
    </row>
    <row r="295" spans="2:8" x14ac:dyDescent="0.35">
      <c r="B295" s="25">
        <v>2026</v>
      </c>
      <c r="C295" s="332">
        <f t="shared" si="11"/>
        <v>28.891119835443767</v>
      </c>
      <c r="D295" s="332">
        <f t="shared" si="11"/>
        <v>17.316104804317177</v>
      </c>
      <c r="E295" s="2"/>
      <c r="F295" s="2"/>
      <c r="G295" s="2"/>
      <c r="H295" s="24"/>
    </row>
    <row r="296" spans="2:8" x14ac:dyDescent="0.35">
      <c r="B296" s="25">
        <v>2027</v>
      </c>
      <c r="C296" s="332">
        <f t="shared" si="11"/>
        <v>30.288758327949594</v>
      </c>
      <c r="D296" s="332">
        <f t="shared" si="11"/>
        <v>18.15378969685942</v>
      </c>
      <c r="E296" s="2"/>
      <c r="F296" s="2"/>
      <c r="G296" s="2"/>
      <c r="H296" s="24"/>
    </row>
    <row r="297" spans="2:8" x14ac:dyDescent="0.35">
      <c r="B297" s="25">
        <v>2028</v>
      </c>
      <c r="C297" s="332">
        <f t="shared" si="11"/>
        <v>31.686396820455421</v>
      </c>
      <c r="D297" s="332">
        <f t="shared" si="11"/>
        <v>18.991474589401662</v>
      </c>
      <c r="E297" s="2"/>
      <c r="F297" s="2"/>
      <c r="G297" s="2"/>
      <c r="H297" s="24"/>
    </row>
    <row r="298" spans="2:8" x14ac:dyDescent="0.35">
      <c r="B298" s="25">
        <v>2029</v>
      </c>
      <c r="C298" s="332">
        <f t="shared" si="11"/>
        <v>33.084035312961248</v>
      </c>
      <c r="D298" s="332">
        <f t="shared" si="11"/>
        <v>19.829159481943904</v>
      </c>
      <c r="E298" s="2"/>
      <c r="F298" s="2"/>
      <c r="G298" s="2"/>
      <c r="H298" s="24"/>
    </row>
    <row r="299" spans="2:8" x14ac:dyDescent="0.35">
      <c r="B299" s="26">
        <v>2030</v>
      </c>
      <c r="C299" s="105">
        <f>F273</f>
        <v>34.481673805467061</v>
      </c>
      <c r="D299" s="105">
        <f>F274</f>
        <v>20.666844374486139</v>
      </c>
      <c r="E299" s="27"/>
      <c r="F299" s="27"/>
      <c r="G299" s="27"/>
      <c r="H299" s="28"/>
    </row>
  </sheetData>
  <mergeCells count="4">
    <mergeCell ref="C187:E187"/>
    <mergeCell ref="E259:E260"/>
    <mergeCell ref="F259:F260"/>
    <mergeCell ref="F187:H18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 tint="0.249977111117893"/>
  </sheetPr>
  <dimension ref="B2:R198"/>
  <sheetViews>
    <sheetView showGridLines="0" zoomScale="85" zoomScaleNormal="85" workbookViewId="0">
      <pane ySplit="6" topLeftCell="A7" activePane="bottomLeft" state="frozen"/>
      <selection pane="bottomLeft" activeCell="H12" sqref="H12"/>
    </sheetView>
  </sheetViews>
  <sheetFormatPr defaultRowHeight="17.25" x14ac:dyDescent="0.35"/>
  <cols>
    <col min="1" max="1" width="2.625" customWidth="1"/>
    <col min="4" max="10" width="11" customWidth="1"/>
    <col min="11" max="18" width="10.5" customWidth="1"/>
  </cols>
  <sheetData>
    <row r="2" spans="2:18" ht="21.75" x14ac:dyDescent="0.45">
      <c r="B2" s="22" t="s">
        <v>300</v>
      </c>
    </row>
    <row r="3" spans="2:18" x14ac:dyDescent="0.35">
      <c r="B3" s="118" t="s">
        <v>5</v>
      </c>
      <c r="C3" s="118" t="s">
        <v>476</v>
      </c>
    </row>
    <row r="5" spans="2:18" s="109" customFormat="1" ht="17.25" customHeight="1" x14ac:dyDescent="0.35">
      <c r="B5" s="469" t="s">
        <v>270</v>
      </c>
      <c r="C5" s="464" t="s">
        <v>299</v>
      </c>
      <c r="D5" s="467" t="s">
        <v>326</v>
      </c>
      <c r="E5" s="465"/>
      <c r="F5" s="468"/>
      <c r="G5" s="467" t="s">
        <v>428</v>
      </c>
      <c r="H5" s="465"/>
      <c r="I5" s="465"/>
      <c r="J5" s="465"/>
      <c r="K5" s="467" t="s">
        <v>325</v>
      </c>
      <c r="L5" s="465"/>
      <c r="M5" s="465"/>
      <c r="N5" s="465"/>
      <c r="O5" s="465"/>
      <c r="P5" s="465"/>
      <c r="Q5" s="465"/>
      <c r="R5" s="468"/>
    </row>
    <row r="6" spans="2:18" s="109" customFormat="1" ht="34.5" x14ac:dyDescent="0.35">
      <c r="B6" s="469"/>
      <c r="C6" s="464"/>
      <c r="D6" s="143" t="s">
        <v>271</v>
      </c>
      <c r="E6" s="38" t="s">
        <v>272</v>
      </c>
      <c r="F6" s="144" t="s">
        <v>273</v>
      </c>
      <c r="G6" s="146" t="s">
        <v>427</v>
      </c>
      <c r="H6" s="145" t="s">
        <v>330</v>
      </c>
      <c r="I6" s="145" t="s">
        <v>422</v>
      </c>
      <c r="J6" s="145" t="s">
        <v>316</v>
      </c>
      <c r="K6" s="143" t="s">
        <v>317</v>
      </c>
      <c r="L6" s="38" t="s">
        <v>318</v>
      </c>
      <c r="M6" s="38" t="s">
        <v>319</v>
      </c>
      <c r="N6" s="38" t="s">
        <v>320</v>
      </c>
      <c r="O6" s="38" t="s">
        <v>321</v>
      </c>
      <c r="P6" s="38" t="s">
        <v>322</v>
      </c>
      <c r="Q6" s="38" t="s">
        <v>323</v>
      </c>
      <c r="R6" s="144" t="s">
        <v>324</v>
      </c>
    </row>
    <row r="7" spans="2:18" x14ac:dyDescent="0.35">
      <c r="B7" s="25">
        <v>2015</v>
      </c>
      <c r="C7" s="78">
        <v>1</v>
      </c>
      <c r="D7" s="135">
        <v>0</v>
      </c>
      <c r="E7" s="114">
        <v>0</v>
      </c>
      <c r="F7" s="136">
        <v>0</v>
      </c>
      <c r="G7" s="147">
        <f>INDEX(S1_BaseRefNGNoHydro!C$29:C$44,MATCH($B7,S1_BaseRefNGNoHydro!$B$8:$B$23,0))*INDEX(RefTables!$D$238:$D$249,$C7)*10^6</f>
        <v>44111739.750698596</v>
      </c>
      <c r="H7" s="34">
        <f>Inputs_AnnualElectric!D34</f>
        <v>3554370</v>
      </c>
      <c r="I7" s="34">
        <f>-INDEX(Inputs_SupplyCurve!$AA$9:$AA$24,MATCH($B7,Inputs_SupplyCurve!$S$9:$S$24,0))*INDEX(RefTables!$D$238:$D$249,$C7)</f>
        <v>-2481547.6237349059</v>
      </c>
      <c r="J7" s="34">
        <f t="shared" ref="J7:J38" si="0">SUM(G7:I7)</f>
        <v>45184562.12696369</v>
      </c>
      <c r="K7" s="149">
        <f>$J7*$E7*10^-6</f>
        <v>0</v>
      </c>
      <c r="L7" s="150">
        <f t="shared" ref="L7:L38" si="1">$J7*$D7*10^-6</f>
        <v>0</v>
      </c>
      <c r="M7" s="150">
        <f t="shared" ref="M7:M38" si="2">$J7*$F7*10^-6</f>
        <v>0</v>
      </c>
      <c r="N7" s="150">
        <f t="shared" ref="N7:O26" si="3">$J7*$E7*10^-6</f>
        <v>0</v>
      </c>
      <c r="O7" s="150">
        <f t="shared" si="3"/>
        <v>0</v>
      </c>
      <c r="P7" s="150">
        <f t="shared" ref="P7:P38" si="4">$J7*$D7*10^-6</f>
        <v>0</v>
      </c>
      <c r="Q7" s="150">
        <f t="shared" ref="Q7:Q38" si="5">$J7*$F7*10^-6</f>
        <v>0</v>
      </c>
      <c r="R7" s="186">
        <f t="shared" ref="R7:R38" si="6">$J7*$E7*10^-6</f>
        <v>0</v>
      </c>
    </row>
    <row r="8" spans="2:18" x14ac:dyDescent="0.35">
      <c r="B8" s="25">
        <v>2015</v>
      </c>
      <c r="C8" s="78">
        <v>2</v>
      </c>
      <c r="D8" s="135">
        <v>0</v>
      </c>
      <c r="E8" s="114">
        <v>0</v>
      </c>
      <c r="F8" s="136">
        <v>0</v>
      </c>
      <c r="G8" s="147">
        <f>INDEX(S1_BaseRefNGNoHydro!C$29:C$44,MATCH($B8,S1_BaseRefNGNoHydro!$B$8:$B$23,0))*INDEX(RefTables!$D$238:$D$249,$C8)*10^6</f>
        <v>38313093.835417636</v>
      </c>
      <c r="H8" s="34">
        <f>Inputs_AnnualElectric!D35</f>
        <v>5863510</v>
      </c>
      <c r="I8" s="34">
        <f>-INDEX(Inputs_SupplyCurve!$AA$9:$AA$24,MATCH($B8,Inputs_SupplyCurve!$S$9:$S$24,0))*INDEX(RefTables!$D$238:$D$249,$C8)</f>
        <v>-2155339.3156230571</v>
      </c>
      <c r="J8" s="34">
        <f t="shared" si="0"/>
        <v>42021264.519794576</v>
      </c>
      <c r="K8" s="149">
        <f t="shared" ref="K8:K38" si="7">$J8*$E8*10^-6</f>
        <v>0</v>
      </c>
      <c r="L8" s="150">
        <f>$J8*$D8*10^-6</f>
        <v>0</v>
      </c>
      <c r="M8" s="150">
        <f t="shared" si="2"/>
        <v>0</v>
      </c>
      <c r="N8" s="150">
        <f t="shared" si="3"/>
        <v>0</v>
      </c>
      <c r="O8" s="150">
        <f t="shared" si="3"/>
        <v>0</v>
      </c>
      <c r="P8" s="150">
        <f t="shared" si="4"/>
        <v>0</v>
      </c>
      <c r="Q8" s="150">
        <f t="shared" si="5"/>
        <v>0</v>
      </c>
      <c r="R8" s="186">
        <f t="shared" si="6"/>
        <v>0</v>
      </c>
    </row>
    <row r="9" spans="2:18" x14ac:dyDescent="0.35">
      <c r="B9" s="25">
        <v>2015</v>
      </c>
      <c r="C9" s="113">
        <v>3</v>
      </c>
      <c r="D9" s="135">
        <v>0</v>
      </c>
      <c r="E9" s="114">
        <v>0</v>
      </c>
      <c r="F9" s="136">
        <v>0</v>
      </c>
      <c r="G9" s="147">
        <f>INDEX(S1_BaseRefNGNoHydro!C$29:C$44,MATCH($B9,S1_BaseRefNGNoHydro!$B$8:$B$23,0))*INDEX(RefTables!$D$238:$D$249,$C9)*10^6</f>
        <v>34314792.218311764</v>
      </c>
      <c r="H9" s="34">
        <f>Inputs_AnnualElectric!D36</f>
        <v>7895290</v>
      </c>
      <c r="I9" s="34">
        <f>-INDEX(Inputs_SupplyCurve!$AA$9:$AA$24,MATCH($B9,Inputs_SupplyCurve!$S$9:$S$24,0))*INDEX(RefTables!$D$238:$D$249,$C9)</f>
        <v>-1930411.0780840383</v>
      </c>
      <c r="J9" s="34">
        <f t="shared" si="0"/>
        <v>40279671.140227728</v>
      </c>
      <c r="K9" s="149">
        <f t="shared" si="7"/>
        <v>0</v>
      </c>
      <c r="L9" s="150">
        <f t="shared" si="1"/>
        <v>0</v>
      </c>
      <c r="M9" s="150">
        <f>$J9*$F9*10^-6</f>
        <v>0</v>
      </c>
      <c r="N9" s="150">
        <f t="shared" si="3"/>
        <v>0</v>
      </c>
      <c r="O9" s="150">
        <f t="shared" si="3"/>
        <v>0</v>
      </c>
      <c r="P9" s="150">
        <f t="shared" si="4"/>
        <v>0</v>
      </c>
      <c r="Q9" s="150">
        <f t="shared" si="5"/>
        <v>0</v>
      </c>
      <c r="R9" s="186">
        <f t="shared" si="6"/>
        <v>0</v>
      </c>
    </row>
    <row r="10" spans="2:18" x14ac:dyDescent="0.35">
      <c r="B10" s="25">
        <v>2015</v>
      </c>
      <c r="C10" s="113">
        <v>4</v>
      </c>
      <c r="D10" s="135">
        <v>0</v>
      </c>
      <c r="E10" s="114">
        <v>0</v>
      </c>
      <c r="F10" s="136">
        <v>0</v>
      </c>
      <c r="G10" s="147">
        <f>INDEX(S1_BaseRefNGNoHydro!C$29:C$44,MATCH($B10,S1_BaseRefNGNoHydro!$B$8:$B$23,0))*INDEX(RefTables!$D$238:$D$249,$C10)*10^6</f>
        <v>22265371.123550236</v>
      </c>
      <c r="H10" s="34">
        <f>Inputs_AnnualElectric!D37</f>
        <v>16149520</v>
      </c>
      <c r="I10" s="34">
        <f>-INDEX(Inputs_SupplyCurve!$AA$9:$AA$24,MATCH($B10,Inputs_SupplyCurve!$S$9:$S$24,0))*INDEX(RefTables!$D$238:$D$249,$C10)</f>
        <v>-1252559.5026513739</v>
      </c>
      <c r="J10" s="34">
        <f t="shared" si="0"/>
        <v>37162331.620898865</v>
      </c>
      <c r="K10" s="149">
        <f t="shared" si="7"/>
        <v>0</v>
      </c>
      <c r="L10" s="150">
        <f t="shared" si="1"/>
        <v>0</v>
      </c>
      <c r="M10" s="150">
        <f t="shared" si="2"/>
        <v>0</v>
      </c>
      <c r="N10" s="150">
        <f>$J10*$E10*10^-6</f>
        <v>0</v>
      </c>
      <c r="O10" s="150">
        <f t="shared" si="3"/>
        <v>0</v>
      </c>
      <c r="P10" s="150">
        <f t="shared" si="4"/>
        <v>0</v>
      </c>
      <c r="Q10" s="150">
        <f t="shared" si="5"/>
        <v>0</v>
      </c>
      <c r="R10" s="186">
        <f t="shared" si="6"/>
        <v>0</v>
      </c>
    </row>
    <row r="11" spans="2:18" x14ac:dyDescent="0.35">
      <c r="B11" s="25">
        <v>2015</v>
      </c>
      <c r="C11" s="113">
        <v>5</v>
      </c>
      <c r="D11" s="135">
        <v>0</v>
      </c>
      <c r="E11" s="114">
        <v>0</v>
      </c>
      <c r="F11" s="136">
        <v>0</v>
      </c>
      <c r="G11" s="147">
        <f>INDEX(S1_BaseRefNGNoHydro!C$29:C$44,MATCH($B11,S1_BaseRefNGNoHydro!$B$8:$B$23,0))*INDEX(RefTables!$D$238:$D$249,$C11)*10^6</f>
        <v>13261115.287868736</v>
      </c>
      <c r="H11" s="34">
        <f>Inputs_AnnualElectric!D38</f>
        <v>17875540</v>
      </c>
      <c r="I11" s="34">
        <f>-INDEX(Inputs_SupplyCurve!$AA$9:$AA$24,MATCH($B11,Inputs_SupplyCurve!$S$9:$S$24,0))*INDEX(RefTables!$D$238:$D$249,$C11)</f>
        <v>-746016.57782414102</v>
      </c>
      <c r="J11" s="34">
        <f t="shared" si="0"/>
        <v>30390638.710044596</v>
      </c>
      <c r="K11" s="149">
        <f t="shared" si="7"/>
        <v>0</v>
      </c>
      <c r="L11" s="150">
        <f t="shared" si="1"/>
        <v>0</v>
      </c>
      <c r="M11" s="150">
        <f t="shared" si="2"/>
        <v>0</v>
      </c>
      <c r="N11" s="150">
        <f t="shared" si="3"/>
        <v>0</v>
      </c>
      <c r="O11" s="150">
        <f>$J11*$E11*10^-6</f>
        <v>0</v>
      </c>
      <c r="P11" s="150">
        <f>$J11*$D11*10^-6</f>
        <v>0</v>
      </c>
      <c r="Q11" s="150">
        <f t="shared" si="5"/>
        <v>0</v>
      </c>
      <c r="R11" s="186">
        <f t="shared" si="6"/>
        <v>0</v>
      </c>
    </row>
    <row r="12" spans="2:18" x14ac:dyDescent="0.35">
      <c r="B12" s="25">
        <v>2015</v>
      </c>
      <c r="C12" s="113">
        <v>6</v>
      </c>
      <c r="D12" s="135">
        <v>0</v>
      </c>
      <c r="E12" s="114">
        <v>0</v>
      </c>
      <c r="F12" s="136">
        <v>0</v>
      </c>
      <c r="G12" s="147">
        <f>INDEX(S1_BaseRefNGNoHydro!C$29:C$44,MATCH($B12,S1_BaseRefNGNoHydro!$B$8:$B$23,0))*INDEX(RefTables!$D$238:$D$249,$C12)*10^6</f>
        <v>8475714.7360913958</v>
      </c>
      <c r="H12" s="34">
        <f>Inputs_AnnualElectric!D39</f>
        <v>19517320</v>
      </c>
      <c r="I12" s="34">
        <f>-INDEX(Inputs_SupplyCurve!$AA$9:$AA$24,MATCH($B12,Inputs_SupplyCurve!$S$9:$S$24,0))*INDEX(RefTables!$D$238:$D$249,$C12)</f>
        <v>-476809.34557720384</v>
      </c>
      <c r="J12" s="34">
        <f t="shared" si="0"/>
        <v>27516225.390514195</v>
      </c>
      <c r="K12" s="149">
        <f t="shared" si="7"/>
        <v>0</v>
      </c>
      <c r="L12" s="150">
        <f t="shared" si="1"/>
        <v>0</v>
      </c>
      <c r="M12" s="150">
        <f t="shared" si="2"/>
        <v>0</v>
      </c>
      <c r="N12" s="150">
        <f t="shared" si="3"/>
        <v>0</v>
      </c>
      <c r="O12" s="150">
        <f t="shared" si="3"/>
        <v>0</v>
      </c>
      <c r="P12" s="150">
        <f t="shared" si="4"/>
        <v>0</v>
      </c>
      <c r="Q12" s="150">
        <f>$J12*$F12*10^-6</f>
        <v>0</v>
      </c>
      <c r="R12" s="186">
        <f t="shared" si="6"/>
        <v>0</v>
      </c>
    </row>
    <row r="13" spans="2:18" x14ac:dyDescent="0.35">
      <c r="B13" s="25">
        <v>2015</v>
      </c>
      <c r="C13" s="113">
        <v>7</v>
      </c>
      <c r="D13" s="135">
        <v>0</v>
      </c>
      <c r="E13" s="114">
        <v>0</v>
      </c>
      <c r="F13" s="136">
        <v>0</v>
      </c>
      <c r="G13" s="147">
        <f>INDEX(S1_BaseRefNGNoHydro!C$29:C$44,MATCH($B13,S1_BaseRefNGNoHydro!$B$8:$B$23,0))*INDEX(RefTables!$D$238:$D$249,$C13)*10^6</f>
        <v>7124212.1954551544</v>
      </c>
      <c r="H13" s="34">
        <f>Inputs_AnnualElectric!D40</f>
        <v>26045590</v>
      </c>
      <c r="I13" s="34">
        <f>-INDEX(Inputs_SupplyCurve!$AA$9:$AA$24,MATCH($B13,Inputs_SupplyCurve!$S$9:$S$24,0))*INDEX(RefTables!$D$238:$D$249,$C13)</f>
        <v>-400779.29241806862</v>
      </c>
      <c r="J13" s="34">
        <f t="shared" si="0"/>
        <v>32769022.903037086</v>
      </c>
      <c r="K13" s="149">
        <f t="shared" si="7"/>
        <v>0</v>
      </c>
      <c r="L13" s="150">
        <f t="shared" si="1"/>
        <v>0</v>
      </c>
      <c r="M13" s="150">
        <f t="shared" si="2"/>
        <v>0</v>
      </c>
      <c r="N13" s="150">
        <f t="shared" si="3"/>
        <v>0</v>
      </c>
      <c r="O13" s="150">
        <f t="shared" si="3"/>
        <v>0</v>
      </c>
      <c r="P13" s="150">
        <f t="shared" si="4"/>
        <v>0</v>
      </c>
      <c r="Q13" s="150">
        <f t="shared" si="5"/>
        <v>0</v>
      </c>
      <c r="R13" s="186">
        <f>$J13*$E13*10^-6</f>
        <v>0</v>
      </c>
    </row>
    <row r="14" spans="2:18" x14ac:dyDescent="0.35">
      <c r="B14" s="25">
        <v>2015</v>
      </c>
      <c r="C14" s="113">
        <v>8</v>
      </c>
      <c r="D14" s="135">
        <v>0</v>
      </c>
      <c r="E14" s="114">
        <v>0</v>
      </c>
      <c r="F14" s="136">
        <v>0</v>
      </c>
      <c r="G14" s="147">
        <f>INDEX(S1_BaseRefNGNoHydro!C$29:C$44,MATCH($B14,S1_BaseRefNGNoHydro!$B$8:$B$23,0))*INDEX(RefTables!$D$238:$D$249,$C14)*10^6</f>
        <v>7267272.2206469672</v>
      </c>
      <c r="H14" s="34">
        <f>Inputs_AnnualElectric!D41</f>
        <v>24999230</v>
      </c>
      <c r="I14" s="34">
        <f>-INDEX(Inputs_SupplyCurve!$AA$9:$AA$24,MATCH($B14,Inputs_SupplyCurve!$S$9:$S$24,0))*INDEX(RefTables!$D$238:$D$249,$C14)</f>
        <v>-408827.26938684314</v>
      </c>
      <c r="J14" s="34">
        <f t="shared" si="0"/>
        <v>31857674.951260123</v>
      </c>
      <c r="K14" s="149">
        <f t="shared" si="7"/>
        <v>0</v>
      </c>
      <c r="L14" s="150">
        <f t="shared" si="1"/>
        <v>0</v>
      </c>
      <c r="M14" s="150">
        <f t="shared" si="2"/>
        <v>0</v>
      </c>
      <c r="N14" s="150">
        <f t="shared" si="3"/>
        <v>0</v>
      </c>
      <c r="O14" s="150">
        <f t="shared" si="3"/>
        <v>0</v>
      </c>
      <c r="P14" s="150">
        <f t="shared" si="4"/>
        <v>0</v>
      </c>
      <c r="Q14" s="150">
        <f t="shared" si="5"/>
        <v>0</v>
      </c>
      <c r="R14" s="186">
        <f t="shared" si="6"/>
        <v>0</v>
      </c>
    </row>
    <row r="15" spans="2:18" x14ac:dyDescent="0.35">
      <c r="B15" s="25">
        <v>2015</v>
      </c>
      <c r="C15" s="113">
        <v>9</v>
      </c>
      <c r="D15" s="135">
        <v>0</v>
      </c>
      <c r="E15" s="114">
        <v>0</v>
      </c>
      <c r="F15" s="136">
        <v>0</v>
      </c>
      <c r="G15" s="147">
        <f>INDEX(S1_BaseRefNGNoHydro!C$29:C$44,MATCH($B15,S1_BaseRefNGNoHydro!$B$8:$B$23,0))*INDEX(RefTables!$D$238:$D$249,$C15)*10^6</f>
        <v>8730691.6807927787</v>
      </c>
      <c r="H15" s="34">
        <f>Inputs_AnnualElectric!D42</f>
        <v>21391170</v>
      </c>
      <c r="I15" s="34">
        <f>-INDEX(Inputs_SupplyCurve!$AA$9:$AA$24,MATCH($B15,Inputs_SupplyCurve!$S$9:$S$24,0))*INDEX(RefTables!$D$238:$D$249,$C15)</f>
        <v>-491153.31466132688</v>
      </c>
      <c r="J15" s="34">
        <f t="shared" si="0"/>
        <v>29630708.366131451</v>
      </c>
      <c r="K15" s="149">
        <f t="shared" si="7"/>
        <v>0</v>
      </c>
      <c r="L15" s="150">
        <f t="shared" si="1"/>
        <v>0</v>
      </c>
      <c r="M15" s="150">
        <f t="shared" si="2"/>
        <v>0</v>
      </c>
      <c r="N15" s="150">
        <f t="shared" si="3"/>
        <v>0</v>
      </c>
      <c r="O15" s="150">
        <f t="shared" si="3"/>
        <v>0</v>
      </c>
      <c r="P15" s="150">
        <f t="shared" si="4"/>
        <v>0</v>
      </c>
      <c r="Q15" s="150">
        <f t="shared" si="5"/>
        <v>0</v>
      </c>
      <c r="R15" s="186">
        <f t="shared" si="6"/>
        <v>0</v>
      </c>
    </row>
    <row r="16" spans="2:18" x14ac:dyDescent="0.35">
      <c r="B16" s="25">
        <v>2015</v>
      </c>
      <c r="C16" s="113">
        <v>10</v>
      </c>
      <c r="D16" s="135">
        <v>0</v>
      </c>
      <c r="E16" s="114">
        <v>0</v>
      </c>
      <c r="F16" s="136">
        <v>0</v>
      </c>
      <c r="G16" s="147">
        <f>INDEX(S1_BaseRefNGNoHydro!C$29:C$44,MATCH($B16,S1_BaseRefNGNoHydro!$B$8:$B$23,0))*INDEX(RefTables!$D$238:$D$249,$C16)*10^6</f>
        <v>15497858.809235148</v>
      </c>
      <c r="H16" s="34">
        <f>Inputs_AnnualElectric!D43</f>
        <v>21111310</v>
      </c>
      <c r="I16" s="34">
        <f>-INDEX(Inputs_SupplyCurve!$AA$9:$AA$24,MATCH($B16,Inputs_SupplyCurve!$S$9:$S$24,0))*INDEX(RefTables!$D$238:$D$249,$C16)</f>
        <v>-871846.69927754288</v>
      </c>
      <c r="J16" s="34">
        <f t="shared" si="0"/>
        <v>35737322.109957606</v>
      </c>
      <c r="K16" s="149">
        <f t="shared" si="7"/>
        <v>0</v>
      </c>
      <c r="L16" s="150">
        <f t="shared" si="1"/>
        <v>0</v>
      </c>
      <c r="M16" s="150">
        <f t="shared" si="2"/>
        <v>0</v>
      </c>
      <c r="N16" s="150">
        <f t="shared" si="3"/>
        <v>0</v>
      </c>
      <c r="O16" s="150">
        <f t="shared" si="3"/>
        <v>0</v>
      </c>
      <c r="P16" s="150">
        <f t="shared" si="4"/>
        <v>0</v>
      </c>
      <c r="Q16" s="150">
        <f t="shared" si="5"/>
        <v>0</v>
      </c>
      <c r="R16" s="186">
        <f t="shared" si="6"/>
        <v>0</v>
      </c>
    </row>
    <row r="17" spans="2:18" x14ac:dyDescent="0.35">
      <c r="B17" s="25">
        <v>2015</v>
      </c>
      <c r="C17" s="113">
        <v>11</v>
      </c>
      <c r="D17" s="135">
        <v>0</v>
      </c>
      <c r="E17" s="114">
        <v>0</v>
      </c>
      <c r="F17" s="136">
        <v>0</v>
      </c>
      <c r="G17" s="147">
        <f>INDEX(S1_BaseRefNGNoHydro!C$29:C$44,MATCH($B17,S1_BaseRefNGNoHydro!$B$8:$B$23,0))*INDEX(RefTables!$D$238:$D$249,$C17)*10^6</f>
        <v>24631969.390472494</v>
      </c>
      <c r="H17" s="34">
        <f>Inputs_AnnualElectric!D44</f>
        <v>8813940</v>
      </c>
      <c r="I17" s="34">
        <f>-INDEX(Inputs_SupplyCurve!$AA$9:$AA$24,MATCH($B17,Inputs_SupplyCurve!$S$9:$S$24,0))*INDEX(RefTables!$D$238:$D$249,$C17)</f>
        <v>-1385694.7255831121</v>
      </c>
      <c r="J17" s="34">
        <f t="shared" si="0"/>
        <v>32060214.66488938</v>
      </c>
      <c r="K17" s="149">
        <f t="shared" si="7"/>
        <v>0</v>
      </c>
      <c r="L17" s="150">
        <f t="shared" si="1"/>
        <v>0</v>
      </c>
      <c r="M17" s="150">
        <f t="shared" si="2"/>
        <v>0</v>
      </c>
      <c r="N17" s="150">
        <f t="shared" si="3"/>
        <v>0</v>
      </c>
      <c r="O17" s="150">
        <f t="shared" si="3"/>
        <v>0</v>
      </c>
      <c r="P17" s="150">
        <f t="shared" si="4"/>
        <v>0</v>
      </c>
      <c r="Q17" s="150">
        <f t="shared" si="5"/>
        <v>0</v>
      </c>
      <c r="R17" s="186">
        <f t="shared" si="6"/>
        <v>0</v>
      </c>
    </row>
    <row r="18" spans="2:18" x14ac:dyDescent="0.35">
      <c r="B18" s="25">
        <v>2015</v>
      </c>
      <c r="C18" s="113">
        <v>12</v>
      </c>
      <c r="D18" s="135">
        <v>0</v>
      </c>
      <c r="E18" s="114">
        <v>0</v>
      </c>
      <c r="F18" s="136">
        <v>0</v>
      </c>
      <c r="G18" s="147">
        <f>INDEX(S1_BaseRefNGNoHydro!C$29:C$44,MATCH($B18,S1_BaseRefNGNoHydro!$B$8:$B$23,0))*INDEX(RefTables!$D$238:$D$249,$C18)*10^6</f>
        <v>38166182.382684112</v>
      </c>
      <c r="H18" s="34">
        <f>Inputs_AnnualElectric!D45</f>
        <v>8094530</v>
      </c>
      <c r="I18" s="34">
        <f>-INDEX(Inputs_SupplyCurve!$AA$9:$AA$24,MATCH($B18,Inputs_SupplyCurve!$S$9:$S$24,0))*INDEX(RefTables!$D$238:$D$249,$C18)</f>
        <v>-2147074.6729567121</v>
      </c>
      <c r="J18" s="34">
        <f t="shared" si="0"/>
        <v>44113637.709727399</v>
      </c>
      <c r="K18" s="149">
        <f t="shared" si="7"/>
        <v>0</v>
      </c>
      <c r="L18" s="150">
        <f t="shared" si="1"/>
        <v>0</v>
      </c>
      <c r="M18" s="150">
        <f t="shared" si="2"/>
        <v>0</v>
      </c>
      <c r="N18" s="150">
        <f t="shared" si="3"/>
        <v>0</v>
      </c>
      <c r="O18" s="150">
        <f t="shared" si="3"/>
        <v>0</v>
      </c>
      <c r="P18" s="150">
        <f t="shared" si="4"/>
        <v>0</v>
      </c>
      <c r="Q18" s="150">
        <f t="shared" si="5"/>
        <v>0</v>
      </c>
      <c r="R18" s="186">
        <f t="shared" si="6"/>
        <v>0</v>
      </c>
    </row>
    <row r="19" spans="2:18" x14ac:dyDescent="0.35">
      <c r="B19" s="25">
        <v>2016</v>
      </c>
      <c r="C19" s="113">
        <v>1</v>
      </c>
      <c r="D19" s="135">
        <v>0</v>
      </c>
      <c r="E19" s="114">
        <v>0</v>
      </c>
      <c r="F19" s="136">
        <v>0</v>
      </c>
      <c r="G19" s="147">
        <f>INDEX(S1_BaseRefNGNoHydro!C$29:C$44,MATCH($B19,S1_BaseRefNGNoHydro!$B$8:$B$23,0))*INDEX(RefTables!$D$238:$D$249,$C19)*10^6</f>
        <v>44869362.531115569</v>
      </c>
      <c r="H19" s="34">
        <f>Inputs_AnnualElectric!D46</f>
        <v>4331440</v>
      </c>
      <c r="I19" s="34">
        <f>-INDEX(Inputs_SupplyCurve!$AA$9:$AA$24,MATCH($B19,Inputs_SupplyCurve!$S$9:$S$24,0))*INDEX(RefTables!$D$238:$D$249,$C19)</f>
        <v>-2875882.7155845305</v>
      </c>
      <c r="J19" s="34">
        <f t="shared" si="0"/>
        <v>46324919.815531038</v>
      </c>
      <c r="K19" s="149">
        <f t="shared" si="7"/>
        <v>0</v>
      </c>
      <c r="L19" s="150">
        <f t="shared" si="1"/>
        <v>0</v>
      </c>
      <c r="M19" s="150">
        <f t="shared" si="2"/>
        <v>0</v>
      </c>
      <c r="N19" s="150">
        <f t="shared" si="3"/>
        <v>0</v>
      </c>
      <c r="O19" s="150">
        <f t="shared" si="3"/>
        <v>0</v>
      </c>
      <c r="P19" s="150">
        <f t="shared" si="4"/>
        <v>0</v>
      </c>
      <c r="Q19" s="150">
        <f t="shared" si="5"/>
        <v>0</v>
      </c>
      <c r="R19" s="186">
        <f t="shared" si="6"/>
        <v>0</v>
      </c>
    </row>
    <row r="20" spans="2:18" x14ac:dyDescent="0.35">
      <c r="B20" s="25">
        <v>2016</v>
      </c>
      <c r="C20" s="113">
        <v>2</v>
      </c>
      <c r="D20" s="135">
        <v>-1.0540964975476186E-3</v>
      </c>
      <c r="E20" s="114">
        <v>-1.0692785956827322E-3</v>
      </c>
      <c r="F20" s="136">
        <v>-1.0846805907931412E-3</v>
      </c>
      <c r="G20" s="147">
        <f>INDEX(S1_BaseRefNGNoHydro!C$29:C$44,MATCH($B20,S1_BaseRefNGNoHydro!$B$8:$B$23,0))*INDEX(RefTables!$D$238:$D$249,$C20)*10^6</f>
        <v>38971124.392407984</v>
      </c>
      <c r="H20" s="34">
        <f>Inputs_AnnualElectric!D47</f>
        <v>4641830</v>
      </c>
      <c r="I20" s="34">
        <f>-INDEX(Inputs_SupplyCurve!$AA$9:$AA$24,MATCH($B20,Inputs_SupplyCurve!$S$9:$S$24,0))*INDEX(RefTables!$D$238:$D$249,$C20)</f>
        <v>-2497837.6496724053</v>
      </c>
      <c r="J20" s="34">
        <f t="shared" si="0"/>
        <v>41115116.74273558</v>
      </c>
      <c r="K20" s="149">
        <f t="shared" si="7"/>
        <v>-4.3963514292003888E-2</v>
      </c>
      <c r="L20" s="150">
        <f t="shared" si="1"/>
        <v>-4.3339300554779019E-2</v>
      </c>
      <c r="M20" s="150">
        <f t="shared" si="2"/>
        <v>-4.4596769119039391E-2</v>
      </c>
      <c r="N20" s="150">
        <f t="shared" si="3"/>
        <v>-4.3963514292003888E-2</v>
      </c>
      <c r="O20" s="150">
        <f t="shared" si="3"/>
        <v>-4.3963514292003888E-2</v>
      </c>
      <c r="P20" s="150">
        <f t="shared" si="4"/>
        <v>-4.3339300554779019E-2</v>
      </c>
      <c r="Q20" s="150">
        <f t="shared" si="5"/>
        <v>-4.4596769119039391E-2</v>
      </c>
      <c r="R20" s="186">
        <f t="shared" si="6"/>
        <v>-4.3963514292003888E-2</v>
      </c>
    </row>
    <row r="21" spans="2:18" x14ac:dyDescent="0.35">
      <c r="B21" s="25">
        <v>2016</v>
      </c>
      <c r="C21" s="113">
        <v>3</v>
      </c>
      <c r="D21" s="135">
        <v>0</v>
      </c>
      <c r="E21" s="114">
        <v>0</v>
      </c>
      <c r="F21" s="136">
        <v>0</v>
      </c>
      <c r="G21" s="147">
        <f>INDEX(S1_BaseRefNGNoHydro!C$29:C$44,MATCH($B21,S1_BaseRefNGNoHydro!$B$8:$B$23,0))*INDEX(RefTables!$D$238:$D$249,$C21)*10^6</f>
        <v>34904151.614173189</v>
      </c>
      <c r="H21" s="34">
        <f>Inputs_AnnualElectric!D48</f>
        <v>7704520</v>
      </c>
      <c r="I21" s="34">
        <f>-INDEX(Inputs_SupplyCurve!$AA$9:$AA$24,MATCH($B21,Inputs_SupplyCurve!$S$9:$S$24,0))*INDEX(RefTables!$D$238:$D$249,$C21)</f>
        <v>-2237166.7584920968</v>
      </c>
      <c r="J21" s="34">
        <f t="shared" si="0"/>
        <v>40371504.855681092</v>
      </c>
      <c r="K21" s="149">
        <f t="shared" si="7"/>
        <v>0</v>
      </c>
      <c r="L21" s="150">
        <f t="shared" si="1"/>
        <v>0</v>
      </c>
      <c r="M21" s="150">
        <f t="shared" si="2"/>
        <v>0</v>
      </c>
      <c r="N21" s="150">
        <f t="shared" si="3"/>
        <v>0</v>
      </c>
      <c r="O21" s="150">
        <f t="shared" si="3"/>
        <v>0</v>
      </c>
      <c r="P21" s="150">
        <f t="shared" si="4"/>
        <v>0</v>
      </c>
      <c r="Q21" s="150">
        <f t="shared" si="5"/>
        <v>0</v>
      </c>
      <c r="R21" s="186">
        <f t="shared" si="6"/>
        <v>0</v>
      </c>
    </row>
    <row r="22" spans="2:18" x14ac:dyDescent="0.35">
      <c r="B22" s="25">
        <v>2016</v>
      </c>
      <c r="C22" s="78">
        <v>4</v>
      </c>
      <c r="D22" s="135">
        <v>0</v>
      </c>
      <c r="E22" s="114">
        <v>0</v>
      </c>
      <c r="F22" s="136">
        <v>0</v>
      </c>
      <c r="G22" s="147">
        <f>INDEX(S1_BaseRefNGNoHydro!C$29:C$44,MATCH($B22,S1_BaseRefNGNoHydro!$B$8:$B$23,0))*INDEX(RefTables!$D$238:$D$249,$C22)*10^6</f>
        <v>22647780.71503257</v>
      </c>
      <c r="H22" s="34">
        <f>Inputs_AnnualElectric!D49</f>
        <v>20780760</v>
      </c>
      <c r="I22" s="34">
        <f>-INDEX(Inputs_SupplyCurve!$AA$9:$AA$24,MATCH($B22,Inputs_SupplyCurve!$S$9:$S$24,0))*INDEX(RefTables!$D$238:$D$249,$C22)</f>
        <v>-1451599.8764088408</v>
      </c>
      <c r="J22" s="34">
        <f t="shared" si="0"/>
        <v>41976940.838623732</v>
      </c>
      <c r="K22" s="149">
        <f t="shared" si="7"/>
        <v>0</v>
      </c>
      <c r="L22" s="150">
        <f t="shared" si="1"/>
        <v>0</v>
      </c>
      <c r="M22" s="150">
        <f t="shared" si="2"/>
        <v>0</v>
      </c>
      <c r="N22" s="150">
        <f t="shared" si="3"/>
        <v>0</v>
      </c>
      <c r="O22" s="150">
        <f t="shared" si="3"/>
        <v>0</v>
      </c>
      <c r="P22" s="150">
        <f t="shared" si="4"/>
        <v>0</v>
      </c>
      <c r="Q22" s="150">
        <f t="shared" si="5"/>
        <v>0</v>
      </c>
      <c r="R22" s="186">
        <f t="shared" si="6"/>
        <v>0</v>
      </c>
    </row>
    <row r="23" spans="2:18" x14ac:dyDescent="0.35">
      <c r="B23" s="25">
        <v>2016</v>
      </c>
      <c r="C23" s="78">
        <v>5</v>
      </c>
      <c r="D23" s="135">
        <v>0</v>
      </c>
      <c r="E23" s="114">
        <v>0</v>
      </c>
      <c r="F23" s="136">
        <v>0</v>
      </c>
      <c r="G23" s="147">
        <f>INDEX(S1_BaseRefNGNoHydro!C$29:C$44,MATCH($B23,S1_BaseRefNGNoHydro!$B$8:$B$23,0))*INDEX(RefTables!$D$238:$D$249,$C23)*10^6</f>
        <v>13488876.040280821</v>
      </c>
      <c r="H23" s="34">
        <f>Inputs_AnnualElectric!D50</f>
        <v>20113480</v>
      </c>
      <c r="I23" s="34">
        <f>-INDEX(Inputs_SupplyCurve!$AA$9:$AA$24,MATCH($B23,Inputs_SupplyCurve!$S$9:$S$24,0))*INDEX(RefTables!$D$238:$D$249,$C23)</f>
        <v>-864563.77511502453</v>
      </c>
      <c r="J23" s="34">
        <f t="shared" si="0"/>
        <v>32737792.265165795</v>
      </c>
      <c r="K23" s="149">
        <f t="shared" si="7"/>
        <v>0</v>
      </c>
      <c r="L23" s="150">
        <f t="shared" si="1"/>
        <v>0</v>
      </c>
      <c r="M23" s="150">
        <f t="shared" si="2"/>
        <v>0</v>
      </c>
      <c r="N23" s="150">
        <f t="shared" si="3"/>
        <v>0</v>
      </c>
      <c r="O23" s="150">
        <f t="shared" si="3"/>
        <v>0</v>
      </c>
      <c r="P23" s="150">
        <f t="shared" si="4"/>
        <v>0</v>
      </c>
      <c r="Q23" s="150">
        <f t="shared" si="5"/>
        <v>0</v>
      </c>
      <c r="R23" s="186">
        <f t="shared" si="6"/>
        <v>0</v>
      </c>
    </row>
    <row r="24" spans="2:18" x14ac:dyDescent="0.35">
      <c r="B24" s="25">
        <v>2016</v>
      </c>
      <c r="C24" s="78">
        <v>6</v>
      </c>
      <c r="D24" s="135">
        <v>0</v>
      </c>
      <c r="E24" s="114">
        <v>0</v>
      </c>
      <c r="F24" s="136">
        <v>0</v>
      </c>
      <c r="G24" s="147">
        <f>INDEX(S1_BaseRefNGNoHydro!C$29:C$44,MATCH($B24,S1_BaseRefNGNoHydro!$B$8:$B$23,0))*INDEX(RefTables!$D$238:$D$249,$C24)*10^6</f>
        <v>8621285.8380399868</v>
      </c>
      <c r="H24" s="34">
        <f>Inputs_AnnualElectric!D51</f>
        <v>20976260</v>
      </c>
      <c r="I24" s="34">
        <f>-INDEX(Inputs_SupplyCurve!$AA$9:$AA$24,MATCH($B24,Inputs_SupplyCurve!$S$9:$S$24,0))*INDEX(RefTables!$D$238:$D$249,$C24)</f>
        <v>-552577.65051908465</v>
      </c>
      <c r="J24" s="34">
        <f t="shared" si="0"/>
        <v>29044968.187520903</v>
      </c>
      <c r="K24" s="149">
        <f t="shared" si="7"/>
        <v>0</v>
      </c>
      <c r="L24" s="150">
        <f t="shared" si="1"/>
        <v>0</v>
      </c>
      <c r="M24" s="150">
        <f t="shared" si="2"/>
        <v>0</v>
      </c>
      <c r="N24" s="150">
        <f t="shared" si="3"/>
        <v>0</v>
      </c>
      <c r="O24" s="150">
        <f t="shared" si="3"/>
        <v>0</v>
      </c>
      <c r="P24" s="150">
        <f t="shared" si="4"/>
        <v>0</v>
      </c>
      <c r="Q24" s="150">
        <f t="shared" si="5"/>
        <v>0</v>
      </c>
      <c r="R24" s="186">
        <f t="shared" si="6"/>
        <v>0</v>
      </c>
    </row>
    <row r="25" spans="2:18" x14ac:dyDescent="0.35">
      <c r="B25" s="25">
        <v>2016</v>
      </c>
      <c r="C25" s="78">
        <v>7</v>
      </c>
      <c r="D25" s="135">
        <v>0</v>
      </c>
      <c r="E25" s="114">
        <v>0</v>
      </c>
      <c r="F25" s="136">
        <v>0</v>
      </c>
      <c r="G25" s="147">
        <f>INDEX(S1_BaseRefNGNoHydro!C$29:C$44,MATCH($B25,S1_BaseRefNGNoHydro!$B$8:$B$23,0))*INDEX(RefTables!$D$238:$D$249,$C25)*10^6</f>
        <v>7246571.1294329446</v>
      </c>
      <c r="H25" s="34">
        <f>Inputs_AnnualElectric!D52</f>
        <v>25908220</v>
      </c>
      <c r="I25" s="34">
        <f>-INDEX(Inputs_SupplyCurve!$AA$9:$AA$24,MATCH($B25,Inputs_SupplyCurve!$S$9:$S$24,0))*INDEX(RefTables!$D$238:$D$249,$C25)</f>
        <v>-464465.89571977878</v>
      </c>
      <c r="J25" s="34">
        <f t="shared" si="0"/>
        <v>32690325.233713169</v>
      </c>
      <c r="K25" s="149">
        <f t="shared" si="7"/>
        <v>0</v>
      </c>
      <c r="L25" s="150">
        <f t="shared" si="1"/>
        <v>0</v>
      </c>
      <c r="M25" s="150">
        <f t="shared" si="2"/>
        <v>0</v>
      </c>
      <c r="N25" s="150">
        <f t="shared" si="3"/>
        <v>0</v>
      </c>
      <c r="O25" s="150">
        <f t="shared" si="3"/>
        <v>0</v>
      </c>
      <c r="P25" s="150">
        <f t="shared" si="4"/>
        <v>0</v>
      </c>
      <c r="Q25" s="150">
        <f t="shared" si="5"/>
        <v>0</v>
      </c>
      <c r="R25" s="186">
        <f t="shared" si="6"/>
        <v>0</v>
      </c>
    </row>
    <row r="26" spans="2:18" x14ac:dyDescent="0.35">
      <c r="B26" s="25">
        <v>2016</v>
      </c>
      <c r="C26" s="78">
        <v>8</v>
      </c>
      <c r="D26" s="135">
        <v>0</v>
      </c>
      <c r="E26" s="114">
        <v>0</v>
      </c>
      <c r="F26" s="136">
        <v>0</v>
      </c>
      <c r="G26" s="147">
        <f>INDEX(S1_BaseRefNGNoHydro!C$29:C$44,MATCH($B26,S1_BaseRefNGNoHydro!$B$8:$B$23,0))*INDEX(RefTables!$D$238:$D$249,$C26)*10^6</f>
        <v>7392088.2223954899</v>
      </c>
      <c r="H26" s="34">
        <f>Inputs_AnnualElectric!D53</f>
        <v>25064490</v>
      </c>
      <c r="I26" s="34">
        <f>-INDEX(Inputs_SupplyCurve!$AA$9:$AA$24,MATCH($B26,Inputs_SupplyCurve!$S$9:$S$24,0))*INDEX(RefTables!$D$238:$D$249,$C26)</f>
        <v>-473792.75192779559</v>
      </c>
      <c r="J26" s="34">
        <f t="shared" si="0"/>
        <v>31982785.470467694</v>
      </c>
      <c r="K26" s="149">
        <f t="shared" si="7"/>
        <v>0</v>
      </c>
      <c r="L26" s="150">
        <f t="shared" si="1"/>
        <v>0</v>
      </c>
      <c r="M26" s="150">
        <f t="shared" si="2"/>
        <v>0</v>
      </c>
      <c r="N26" s="150">
        <f t="shared" si="3"/>
        <v>0</v>
      </c>
      <c r="O26" s="150">
        <f t="shared" si="3"/>
        <v>0</v>
      </c>
      <c r="P26" s="150">
        <f t="shared" si="4"/>
        <v>0</v>
      </c>
      <c r="Q26" s="150">
        <f t="shared" si="5"/>
        <v>0</v>
      </c>
      <c r="R26" s="186">
        <f t="shared" si="6"/>
        <v>0</v>
      </c>
    </row>
    <row r="27" spans="2:18" x14ac:dyDescent="0.35">
      <c r="B27" s="25">
        <v>2016</v>
      </c>
      <c r="C27" s="78">
        <v>9</v>
      </c>
      <c r="D27" s="135">
        <v>0</v>
      </c>
      <c r="E27" s="114">
        <v>0</v>
      </c>
      <c r="F27" s="136">
        <v>0</v>
      </c>
      <c r="G27" s="147">
        <f>INDEX(S1_BaseRefNGNoHydro!C$29:C$44,MATCH($B27,S1_BaseRefNGNoHydro!$B$8:$B$23,0))*INDEX(RefTables!$D$238:$D$249,$C27)*10^6</f>
        <v>8880642.0328656808</v>
      </c>
      <c r="H27" s="34">
        <f>Inputs_AnnualElectric!D54</f>
        <v>20528350</v>
      </c>
      <c r="I27" s="34">
        <f>-INDEX(Inputs_SupplyCurve!$AA$9:$AA$24,MATCH($B27,Inputs_SupplyCurve!$S$9:$S$24,0))*INDEX(RefTables!$D$238:$D$249,$C27)</f>
        <v>-569200.97556324466</v>
      </c>
      <c r="J27" s="34">
        <f t="shared" si="0"/>
        <v>28839791.057302438</v>
      </c>
      <c r="K27" s="149">
        <f t="shared" si="7"/>
        <v>0</v>
      </c>
      <c r="L27" s="150">
        <f t="shared" si="1"/>
        <v>0</v>
      </c>
      <c r="M27" s="150">
        <f t="shared" si="2"/>
        <v>0</v>
      </c>
      <c r="N27" s="150">
        <f t="shared" ref="N27:O46" si="8">$J27*$E27*10^-6</f>
        <v>0</v>
      </c>
      <c r="O27" s="150">
        <f t="shared" si="8"/>
        <v>0</v>
      </c>
      <c r="P27" s="150">
        <f t="shared" si="4"/>
        <v>0</v>
      </c>
      <c r="Q27" s="150">
        <f t="shared" si="5"/>
        <v>0</v>
      </c>
      <c r="R27" s="186">
        <f t="shared" si="6"/>
        <v>0</v>
      </c>
    </row>
    <row r="28" spans="2:18" x14ac:dyDescent="0.35">
      <c r="B28" s="25">
        <v>2016</v>
      </c>
      <c r="C28" s="78">
        <v>10</v>
      </c>
      <c r="D28" s="135">
        <v>0</v>
      </c>
      <c r="E28" s="114">
        <v>0</v>
      </c>
      <c r="F28" s="136">
        <v>0</v>
      </c>
      <c r="G28" s="147">
        <f>INDEX(S1_BaseRefNGNoHydro!C$29:C$44,MATCH($B28,S1_BaseRefNGNoHydro!$B$8:$B$23,0))*INDEX(RefTables!$D$238:$D$249,$C28)*10^6</f>
        <v>15764035.816714803</v>
      </c>
      <c r="H28" s="34">
        <f>Inputs_AnnualElectric!D55</f>
        <v>19280900</v>
      </c>
      <c r="I28" s="34">
        <f>-INDEX(Inputs_SupplyCurve!$AA$9:$AA$24,MATCH($B28,Inputs_SupplyCurve!$S$9:$S$24,0))*INDEX(RefTables!$D$238:$D$249,$C28)</f>
        <v>-1010389.1737197455</v>
      </c>
      <c r="J28" s="34">
        <f t="shared" si="0"/>
        <v>34034546.642995052</v>
      </c>
      <c r="K28" s="149">
        <f t="shared" si="7"/>
        <v>0</v>
      </c>
      <c r="L28" s="150">
        <f t="shared" si="1"/>
        <v>0</v>
      </c>
      <c r="M28" s="150">
        <f t="shared" si="2"/>
        <v>0</v>
      </c>
      <c r="N28" s="150">
        <f t="shared" si="8"/>
        <v>0</v>
      </c>
      <c r="O28" s="150">
        <f t="shared" si="8"/>
        <v>0</v>
      </c>
      <c r="P28" s="150">
        <f t="shared" si="4"/>
        <v>0</v>
      </c>
      <c r="Q28" s="150">
        <f t="shared" si="5"/>
        <v>0</v>
      </c>
      <c r="R28" s="186">
        <f t="shared" si="6"/>
        <v>0</v>
      </c>
    </row>
    <row r="29" spans="2:18" x14ac:dyDescent="0.35">
      <c r="B29" s="25">
        <v>2016</v>
      </c>
      <c r="C29" s="78">
        <v>11</v>
      </c>
      <c r="D29" s="135">
        <v>0</v>
      </c>
      <c r="E29" s="114">
        <v>0</v>
      </c>
      <c r="F29" s="136">
        <v>0</v>
      </c>
      <c r="G29" s="147">
        <f>INDEX(S1_BaseRefNGNoHydro!C$29:C$44,MATCH($B29,S1_BaseRefNGNoHydro!$B$8:$B$23,0))*INDEX(RefTables!$D$238:$D$249,$C29)*10^6</f>
        <v>25055025.503022667</v>
      </c>
      <c r="H29" s="34">
        <f>Inputs_AnnualElectric!D56</f>
        <v>7479960</v>
      </c>
      <c r="I29" s="34">
        <f>-INDEX(Inputs_SupplyCurve!$AA$9:$AA$24,MATCH($B29,Inputs_SupplyCurve!$S$9:$S$24,0))*INDEX(RefTables!$D$238:$D$249,$C29)</f>
        <v>-1605891.2076743741</v>
      </c>
      <c r="J29" s="34">
        <f t="shared" si="0"/>
        <v>30929094.295348294</v>
      </c>
      <c r="K29" s="149">
        <f t="shared" si="7"/>
        <v>0</v>
      </c>
      <c r="L29" s="150">
        <f t="shared" si="1"/>
        <v>0</v>
      </c>
      <c r="M29" s="150">
        <f t="shared" si="2"/>
        <v>0</v>
      </c>
      <c r="N29" s="150">
        <f t="shared" si="8"/>
        <v>0</v>
      </c>
      <c r="O29" s="150">
        <f t="shared" si="8"/>
        <v>0</v>
      </c>
      <c r="P29" s="150">
        <f t="shared" si="4"/>
        <v>0</v>
      </c>
      <c r="Q29" s="150">
        <f t="shared" si="5"/>
        <v>0</v>
      </c>
      <c r="R29" s="186">
        <f t="shared" si="6"/>
        <v>0</v>
      </c>
    </row>
    <row r="30" spans="2:18" x14ac:dyDescent="0.35">
      <c r="B30" s="25">
        <v>2016</v>
      </c>
      <c r="C30" s="78">
        <v>12</v>
      </c>
      <c r="D30" s="135">
        <v>0</v>
      </c>
      <c r="E30" s="114">
        <v>0</v>
      </c>
      <c r="F30" s="136">
        <v>0</v>
      </c>
      <c r="G30" s="147">
        <f>INDEX(S1_BaseRefNGNoHydro!C$29:C$44,MATCH($B30,S1_BaseRefNGNoHydro!$B$8:$B$23,0))*INDEX(RefTables!$D$238:$D$249,$C30)*10^6</f>
        <v>38821689.723316997</v>
      </c>
      <c r="H30" s="34">
        <f>Inputs_AnnualElectric!D57</f>
        <v>8162080</v>
      </c>
      <c r="I30" s="34">
        <f>-INDEX(Inputs_SupplyCurve!$AA$9:$AA$24,MATCH($B30,Inputs_SupplyCurve!$S$9:$S$24,0))*INDEX(RefTables!$D$238:$D$249,$C30)</f>
        <v>-2488259.6980879623</v>
      </c>
      <c r="J30" s="34">
        <f t="shared" si="0"/>
        <v>44495510.025229037</v>
      </c>
      <c r="K30" s="149">
        <f t="shared" si="7"/>
        <v>0</v>
      </c>
      <c r="L30" s="150">
        <f t="shared" si="1"/>
        <v>0</v>
      </c>
      <c r="M30" s="150">
        <f t="shared" si="2"/>
        <v>0</v>
      </c>
      <c r="N30" s="150">
        <f t="shared" si="8"/>
        <v>0</v>
      </c>
      <c r="O30" s="150">
        <f t="shared" si="8"/>
        <v>0</v>
      </c>
      <c r="P30" s="150">
        <f t="shared" si="4"/>
        <v>0</v>
      </c>
      <c r="Q30" s="150">
        <f t="shared" si="5"/>
        <v>0</v>
      </c>
      <c r="R30" s="186">
        <f t="shared" si="6"/>
        <v>0</v>
      </c>
    </row>
    <row r="31" spans="2:18" x14ac:dyDescent="0.35">
      <c r="B31" s="25">
        <v>2017</v>
      </c>
      <c r="C31" s="78">
        <v>1</v>
      </c>
      <c r="D31" s="135">
        <v>0</v>
      </c>
      <c r="E31" s="114">
        <v>0</v>
      </c>
      <c r="F31" s="136">
        <v>0</v>
      </c>
      <c r="G31" s="147">
        <f>INDEX(S1_BaseRefNGNoHydro!C$29:C$44,MATCH($B31,S1_BaseRefNGNoHydro!$B$8:$B$23,0))*INDEX(RefTables!$D$238:$D$249,$C31)*10^6</f>
        <v>45416784.684891947</v>
      </c>
      <c r="H31" s="34">
        <f>Inputs_AnnualElectric!D58</f>
        <v>4610530</v>
      </c>
      <c r="I31" s="34">
        <f>-INDEX(Inputs_SupplyCurve!$AA$9:$AA$24,MATCH($B31,Inputs_SupplyCurve!$S$9:$S$24,0))*INDEX(RefTables!$D$238:$D$249,$C31)</f>
        <v>-3295716.2964175893</v>
      </c>
      <c r="J31" s="34">
        <f t="shared" si="0"/>
        <v>46731598.38847436</v>
      </c>
      <c r="K31" s="149">
        <f t="shared" si="7"/>
        <v>0</v>
      </c>
      <c r="L31" s="150">
        <f t="shared" si="1"/>
        <v>0</v>
      </c>
      <c r="M31" s="150">
        <f t="shared" si="2"/>
        <v>0</v>
      </c>
      <c r="N31" s="150">
        <f t="shared" si="8"/>
        <v>0</v>
      </c>
      <c r="O31" s="150">
        <f t="shared" si="8"/>
        <v>0</v>
      </c>
      <c r="P31" s="150">
        <f t="shared" si="4"/>
        <v>0</v>
      </c>
      <c r="Q31" s="150">
        <f t="shared" si="5"/>
        <v>0</v>
      </c>
      <c r="R31" s="186">
        <f t="shared" si="6"/>
        <v>0</v>
      </c>
    </row>
    <row r="32" spans="2:18" x14ac:dyDescent="0.35">
      <c r="B32" s="25">
        <v>2017</v>
      </c>
      <c r="C32" s="78">
        <v>2</v>
      </c>
      <c r="D32" s="135">
        <v>0</v>
      </c>
      <c r="E32" s="114">
        <v>0</v>
      </c>
      <c r="F32" s="136">
        <v>0</v>
      </c>
      <c r="G32" s="147">
        <f>INDEX(S1_BaseRefNGNoHydro!C$29:C$44,MATCH($B32,S1_BaseRefNGNoHydro!$B$8:$B$23,0))*INDEX(RefTables!$D$238:$D$249,$C32)*10^6</f>
        <v>39446585.946718782</v>
      </c>
      <c r="H32" s="34">
        <f>Inputs_AnnualElectric!D59</f>
        <v>5154850</v>
      </c>
      <c r="I32" s="34">
        <f>-INDEX(Inputs_SupplyCurve!$AA$9:$AA$24,MATCH($B32,Inputs_SupplyCurve!$S$9:$S$24,0))*INDEX(RefTables!$D$238:$D$249,$C32)</f>
        <v>-2862482.60515643</v>
      </c>
      <c r="J32" s="34">
        <f t="shared" si="0"/>
        <v>41738953.341562353</v>
      </c>
      <c r="K32" s="149">
        <f t="shared" si="7"/>
        <v>0</v>
      </c>
      <c r="L32" s="150">
        <f t="shared" si="1"/>
        <v>0</v>
      </c>
      <c r="M32" s="150">
        <f t="shared" si="2"/>
        <v>0</v>
      </c>
      <c r="N32" s="150">
        <f t="shared" si="8"/>
        <v>0</v>
      </c>
      <c r="O32" s="150">
        <f t="shared" si="8"/>
        <v>0</v>
      </c>
      <c r="P32" s="150">
        <f t="shared" si="4"/>
        <v>0</v>
      </c>
      <c r="Q32" s="150">
        <f t="shared" si="5"/>
        <v>0</v>
      </c>
      <c r="R32" s="186">
        <f t="shared" si="6"/>
        <v>0</v>
      </c>
    </row>
    <row r="33" spans="2:18" x14ac:dyDescent="0.35">
      <c r="B33" s="25">
        <v>2017</v>
      </c>
      <c r="C33" s="78">
        <v>3</v>
      </c>
      <c r="D33" s="135">
        <v>0</v>
      </c>
      <c r="E33" s="114">
        <v>0</v>
      </c>
      <c r="F33" s="136">
        <v>0</v>
      </c>
      <c r="G33" s="147">
        <f>INDEX(S1_BaseRefNGNoHydro!C$29:C$44,MATCH($B33,S1_BaseRefNGNoHydro!$B$8:$B$23,0))*INDEX(RefTables!$D$238:$D$249,$C33)*10^6</f>
        <v>35329994.656608157</v>
      </c>
      <c r="H33" s="34">
        <f>Inputs_AnnualElectric!D60</f>
        <v>7457440</v>
      </c>
      <c r="I33" s="34">
        <f>-INDEX(Inputs_SupplyCurve!$AA$9:$AA$24,MATCH($B33,Inputs_SupplyCurve!$S$9:$S$24,0))*INDEX(RefTables!$D$238:$D$249,$C33)</f>
        <v>-2563757.869474702</v>
      </c>
      <c r="J33" s="34">
        <f t="shared" si="0"/>
        <v>40223676.787133455</v>
      </c>
      <c r="K33" s="149">
        <f t="shared" si="7"/>
        <v>0</v>
      </c>
      <c r="L33" s="150">
        <f t="shared" si="1"/>
        <v>0</v>
      </c>
      <c r="M33" s="150">
        <f t="shared" si="2"/>
        <v>0</v>
      </c>
      <c r="N33" s="150">
        <f t="shared" si="8"/>
        <v>0</v>
      </c>
      <c r="O33" s="150">
        <f t="shared" si="8"/>
        <v>0</v>
      </c>
      <c r="P33" s="150">
        <f t="shared" si="4"/>
        <v>0</v>
      </c>
      <c r="Q33" s="150">
        <f t="shared" si="5"/>
        <v>0</v>
      </c>
      <c r="R33" s="186">
        <f t="shared" si="6"/>
        <v>0</v>
      </c>
    </row>
    <row r="34" spans="2:18" x14ac:dyDescent="0.35">
      <c r="B34" s="25">
        <v>2017</v>
      </c>
      <c r="C34" s="78">
        <v>4</v>
      </c>
      <c r="D34" s="135">
        <v>0</v>
      </c>
      <c r="E34" s="114">
        <v>0</v>
      </c>
      <c r="F34" s="136">
        <v>0</v>
      </c>
      <c r="G34" s="147">
        <f>INDEX(S1_BaseRefNGNoHydro!C$29:C$44,MATCH($B34,S1_BaseRefNGNoHydro!$B$8:$B$23,0))*INDEX(RefTables!$D$238:$D$249,$C34)*10^6</f>
        <v>22924091.680865452</v>
      </c>
      <c r="H34" s="34">
        <f>Inputs_AnnualElectric!D61</f>
        <v>18813290</v>
      </c>
      <c r="I34" s="34">
        <f>-INDEX(Inputs_SupplyCurve!$AA$9:$AA$24,MATCH($B34,Inputs_SupplyCurve!$S$9:$S$24,0))*INDEX(RefTables!$D$238:$D$249,$C34)</f>
        <v>-1663510.5954193971</v>
      </c>
      <c r="J34" s="34">
        <f t="shared" si="0"/>
        <v>40073871.085446052</v>
      </c>
      <c r="K34" s="149">
        <f t="shared" si="7"/>
        <v>0</v>
      </c>
      <c r="L34" s="150">
        <f t="shared" si="1"/>
        <v>0</v>
      </c>
      <c r="M34" s="150">
        <f t="shared" si="2"/>
        <v>0</v>
      </c>
      <c r="N34" s="150">
        <f t="shared" si="8"/>
        <v>0</v>
      </c>
      <c r="O34" s="150">
        <f t="shared" si="8"/>
        <v>0</v>
      </c>
      <c r="P34" s="150">
        <f t="shared" si="4"/>
        <v>0</v>
      </c>
      <c r="Q34" s="150">
        <f t="shared" si="5"/>
        <v>0</v>
      </c>
      <c r="R34" s="186">
        <f t="shared" si="6"/>
        <v>0</v>
      </c>
    </row>
    <row r="35" spans="2:18" x14ac:dyDescent="0.35">
      <c r="B35" s="25">
        <v>2017</v>
      </c>
      <c r="C35" s="78">
        <v>5</v>
      </c>
      <c r="D35" s="135">
        <v>0</v>
      </c>
      <c r="E35" s="114">
        <v>0</v>
      </c>
      <c r="F35" s="136">
        <v>0</v>
      </c>
      <c r="G35" s="147">
        <f>INDEX(S1_BaseRefNGNoHydro!C$29:C$44,MATCH($B35,S1_BaseRefNGNoHydro!$B$8:$B$23,0))*INDEX(RefTables!$D$238:$D$249,$C35)*10^6</f>
        <v>13653445.117206581</v>
      </c>
      <c r="H35" s="34">
        <f>Inputs_AnnualElectric!D62</f>
        <v>18663340</v>
      </c>
      <c r="I35" s="34">
        <f>-INDEX(Inputs_SupplyCurve!$AA$9:$AA$24,MATCH($B35,Inputs_SupplyCurve!$S$9:$S$24,0))*INDEX(RefTables!$D$238:$D$249,$C35)</f>
        <v>-990776.46925520024</v>
      </c>
      <c r="J35" s="34">
        <f t="shared" si="0"/>
        <v>31326008.647951379</v>
      </c>
      <c r="K35" s="149">
        <f t="shared" si="7"/>
        <v>0</v>
      </c>
      <c r="L35" s="150">
        <f t="shared" si="1"/>
        <v>0</v>
      </c>
      <c r="M35" s="150">
        <f t="shared" si="2"/>
        <v>0</v>
      </c>
      <c r="N35" s="150">
        <f t="shared" si="8"/>
        <v>0</v>
      </c>
      <c r="O35" s="150">
        <f t="shared" si="8"/>
        <v>0</v>
      </c>
      <c r="P35" s="150">
        <f t="shared" si="4"/>
        <v>0</v>
      </c>
      <c r="Q35" s="150">
        <f t="shared" si="5"/>
        <v>0</v>
      </c>
      <c r="R35" s="186">
        <f t="shared" si="6"/>
        <v>0</v>
      </c>
    </row>
    <row r="36" spans="2:18" x14ac:dyDescent="0.35">
      <c r="B36" s="25">
        <v>2017</v>
      </c>
      <c r="C36" s="78">
        <v>6</v>
      </c>
      <c r="D36" s="135">
        <v>0</v>
      </c>
      <c r="E36" s="114">
        <v>0</v>
      </c>
      <c r="F36" s="136">
        <v>0</v>
      </c>
      <c r="G36" s="147">
        <f>INDEX(S1_BaseRefNGNoHydro!C$29:C$44,MATCH($B36,S1_BaseRefNGNoHydro!$B$8:$B$23,0))*INDEX(RefTables!$D$238:$D$249,$C36)*10^6</f>
        <v>8726468.5862572994</v>
      </c>
      <c r="H36" s="34">
        <f>Inputs_AnnualElectric!D63</f>
        <v>21251370</v>
      </c>
      <c r="I36" s="34">
        <f>-INDEX(Inputs_SupplyCurve!$AA$9:$AA$24,MATCH($B36,Inputs_SupplyCurve!$S$9:$S$24,0))*INDEX(RefTables!$D$238:$D$249,$C36)</f>
        <v>-633245.28430281952</v>
      </c>
      <c r="J36" s="34">
        <f t="shared" si="0"/>
        <v>29344593.301954482</v>
      </c>
      <c r="K36" s="149">
        <f t="shared" si="7"/>
        <v>0</v>
      </c>
      <c r="L36" s="150">
        <f t="shared" si="1"/>
        <v>0</v>
      </c>
      <c r="M36" s="150">
        <f t="shared" si="2"/>
        <v>0</v>
      </c>
      <c r="N36" s="150">
        <f t="shared" si="8"/>
        <v>0</v>
      </c>
      <c r="O36" s="150">
        <f t="shared" si="8"/>
        <v>0</v>
      </c>
      <c r="P36" s="150">
        <f t="shared" si="4"/>
        <v>0</v>
      </c>
      <c r="Q36" s="150">
        <f t="shared" si="5"/>
        <v>0</v>
      </c>
      <c r="R36" s="186">
        <f t="shared" si="6"/>
        <v>0</v>
      </c>
    </row>
    <row r="37" spans="2:18" x14ac:dyDescent="0.35">
      <c r="B37" s="25">
        <v>2017</v>
      </c>
      <c r="C37" s="78">
        <v>7</v>
      </c>
      <c r="D37" s="135">
        <v>0</v>
      </c>
      <c r="E37" s="114">
        <v>0</v>
      </c>
      <c r="F37" s="136">
        <v>0</v>
      </c>
      <c r="G37" s="147">
        <f>INDEX(S1_BaseRefNGNoHydro!C$29:C$44,MATCH($B37,S1_BaseRefNGNoHydro!$B$8:$B$23,0))*INDEX(RefTables!$D$238:$D$249,$C37)*10^6</f>
        <v>7334981.8701118864</v>
      </c>
      <c r="H37" s="34">
        <f>Inputs_AnnualElectric!D64</f>
        <v>28235130</v>
      </c>
      <c r="I37" s="34">
        <f>-INDEX(Inputs_SupplyCurve!$AA$9:$AA$24,MATCH($B37,Inputs_SupplyCurve!$S$9:$S$24,0))*INDEX(RefTables!$D$238:$D$249,$C37)</f>
        <v>-532270.60107795091</v>
      </c>
      <c r="J37" s="34">
        <f t="shared" si="0"/>
        <v>35037841.269033931</v>
      </c>
      <c r="K37" s="149">
        <f t="shared" si="7"/>
        <v>0</v>
      </c>
      <c r="L37" s="150">
        <f t="shared" si="1"/>
        <v>0</v>
      </c>
      <c r="M37" s="150">
        <f t="shared" si="2"/>
        <v>0</v>
      </c>
      <c r="N37" s="150">
        <f t="shared" si="8"/>
        <v>0</v>
      </c>
      <c r="O37" s="150">
        <f t="shared" si="8"/>
        <v>0</v>
      </c>
      <c r="P37" s="150">
        <f t="shared" si="4"/>
        <v>0</v>
      </c>
      <c r="Q37" s="150">
        <f t="shared" si="5"/>
        <v>0</v>
      </c>
      <c r="R37" s="186">
        <f t="shared" si="6"/>
        <v>0</v>
      </c>
    </row>
    <row r="38" spans="2:18" x14ac:dyDescent="0.35">
      <c r="B38" s="25">
        <v>2017</v>
      </c>
      <c r="C38" s="78">
        <v>8</v>
      </c>
      <c r="D38" s="135">
        <v>0</v>
      </c>
      <c r="E38" s="114">
        <v>0</v>
      </c>
      <c r="F38" s="136">
        <v>0</v>
      </c>
      <c r="G38" s="147">
        <f>INDEX(S1_BaseRefNGNoHydro!C$29:C$44,MATCH($B38,S1_BaseRefNGNoHydro!$B$8:$B$23,0))*INDEX(RefTables!$D$238:$D$249,$C38)*10^6</f>
        <v>7482274.3232745137</v>
      </c>
      <c r="H38" s="34">
        <f>Inputs_AnnualElectric!D65</f>
        <v>27018860</v>
      </c>
      <c r="I38" s="34">
        <f>-INDEX(Inputs_SupplyCurve!$AA$9:$AA$24,MATCH($B38,Inputs_SupplyCurve!$S$9:$S$24,0))*INDEX(RefTables!$D$238:$D$249,$C38)</f>
        <v>-542959.03139276523</v>
      </c>
      <c r="J38" s="34">
        <f t="shared" si="0"/>
        <v>33958175.291881748</v>
      </c>
      <c r="K38" s="149">
        <f t="shared" si="7"/>
        <v>0</v>
      </c>
      <c r="L38" s="150">
        <f t="shared" si="1"/>
        <v>0</v>
      </c>
      <c r="M38" s="150">
        <f t="shared" si="2"/>
        <v>0</v>
      </c>
      <c r="N38" s="150">
        <f t="shared" si="8"/>
        <v>0</v>
      </c>
      <c r="O38" s="150">
        <f t="shared" si="8"/>
        <v>0</v>
      </c>
      <c r="P38" s="150">
        <f t="shared" si="4"/>
        <v>0</v>
      </c>
      <c r="Q38" s="150">
        <f t="shared" si="5"/>
        <v>0</v>
      </c>
      <c r="R38" s="186">
        <f t="shared" si="6"/>
        <v>0</v>
      </c>
    </row>
    <row r="39" spans="2:18" x14ac:dyDescent="0.35">
      <c r="B39" s="25">
        <v>2017</v>
      </c>
      <c r="C39" s="78">
        <v>9</v>
      </c>
      <c r="D39" s="135">
        <v>0</v>
      </c>
      <c r="E39" s="114">
        <v>0</v>
      </c>
      <c r="F39" s="136">
        <v>0</v>
      </c>
      <c r="G39" s="147">
        <f>INDEX(S1_BaseRefNGNoHydro!C$29:C$44,MATCH($B39,S1_BaseRefNGNoHydro!$B$8:$B$23,0))*INDEX(RefTables!$D$238:$D$249,$C39)*10^6</f>
        <v>8988989.0187444557</v>
      </c>
      <c r="H39" s="34">
        <f>Inputs_AnnualElectric!D66</f>
        <v>21543900</v>
      </c>
      <c r="I39" s="34">
        <f>-INDEX(Inputs_SupplyCurve!$AA$9:$AA$24,MATCH($B39,Inputs_SupplyCurve!$S$9:$S$24,0))*INDEX(RefTables!$D$238:$D$249,$C39)</f>
        <v>-652295.35298322793</v>
      </c>
      <c r="J39" s="34">
        <f t="shared" ref="J39:J70" si="9">SUM(G39:I39)</f>
        <v>29880593.665761225</v>
      </c>
      <c r="K39" s="149">
        <f t="shared" ref="K39:K70" si="10">$J39*$E39*10^-6</f>
        <v>0</v>
      </c>
      <c r="L39" s="150">
        <f t="shared" ref="L39:L70" si="11">$J39*$D39*10^-6</f>
        <v>0</v>
      </c>
      <c r="M39" s="150">
        <f t="shared" ref="M39:M70" si="12">$J39*$F39*10^-6</f>
        <v>0</v>
      </c>
      <c r="N39" s="150">
        <f t="shared" si="8"/>
        <v>0</v>
      </c>
      <c r="O39" s="150">
        <f t="shared" si="8"/>
        <v>0</v>
      </c>
      <c r="P39" s="150">
        <f t="shared" ref="P39:P70" si="13">$J39*$D39*10^-6</f>
        <v>0</v>
      </c>
      <c r="Q39" s="150">
        <f t="shared" ref="Q39:Q70" si="14">$J39*$F39*10^-6</f>
        <v>0</v>
      </c>
      <c r="R39" s="186">
        <f t="shared" ref="R39:R70" si="15">$J39*$E39*10^-6</f>
        <v>0</v>
      </c>
    </row>
    <row r="40" spans="2:18" x14ac:dyDescent="0.35">
      <c r="B40" s="25">
        <v>2017</v>
      </c>
      <c r="C40" s="78">
        <v>10</v>
      </c>
      <c r="D40" s="135">
        <v>0</v>
      </c>
      <c r="E40" s="114">
        <v>0</v>
      </c>
      <c r="F40" s="136">
        <v>0</v>
      </c>
      <c r="G40" s="147">
        <f>INDEX(S1_BaseRefNGNoHydro!C$29:C$44,MATCH($B40,S1_BaseRefNGNoHydro!$B$8:$B$23,0))*INDEX(RefTables!$D$238:$D$249,$C40)*10^6</f>
        <v>15956362.650710039</v>
      </c>
      <c r="H40" s="34">
        <f>Inputs_AnnualElectric!D67</f>
        <v>24016040</v>
      </c>
      <c r="I40" s="34">
        <f>-INDEX(Inputs_SupplyCurve!$AA$9:$AA$24,MATCH($B40,Inputs_SupplyCurve!$S$9:$S$24,0))*INDEX(RefTables!$D$238:$D$249,$C40)</f>
        <v>-1157890.0792813611</v>
      </c>
      <c r="J40" s="34">
        <f t="shared" si="9"/>
        <v>38814512.571428679</v>
      </c>
      <c r="K40" s="149">
        <f t="shared" si="10"/>
        <v>0</v>
      </c>
      <c r="L40" s="150">
        <f t="shared" si="11"/>
        <v>0</v>
      </c>
      <c r="M40" s="150">
        <f t="shared" si="12"/>
        <v>0</v>
      </c>
      <c r="N40" s="150">
        <f t="shared" si="8"/>
        <v>0</v>
      </c>
      <c r="O40" s="150">
        <f t="shared" si="8"/>
        <v>0</v>
      </c>
      <c r="P40" s="150">
        <f t="shared" si="13"/>
        <v>0</v>
      </c>
      <c r="Q40" s="150">
        <f t="shared" si="14"/>
        <v>0</v>
      </c>
      <c r="R40" s="186">
        <f t="shared" si="15"/>
        <v>0</v>
      </c>
    </row>
    <row r="41" spans="2:18" x14ac:dyDescent="0.35">
      <c r="B41" s="25">
        <v>2017</v>
      </c>
      <c r="C41" s="78">
        <v>11</v>
      </c>
      <c r="D41" s="135">
        <v>0</v>
      </c>
      <c r="E41" s="114">
        <v>0</v>
      </c>
      <c r="F41" s="136">
        <v>0</v>
      </c>
      <c r="G41" s="147">
        <f>INDEX(S1_BaseRefNGNoHydro!C$29:C$44,MATCH($B41,S1_BaseRefNGNoHydro!$B$8:$B$23,0))*INDEX(RefTables!$D$238:$D$249,$C41)*10^6</f>
        <v>25360705.709962875</v>
      </c>
      <c r="H41" s="34">
        <f>Inputs_AnnualElectric!D68</f>
        <v>13139390</v>
      </c>
      <c r="I41" s="34">
        <f>-INDEX(Inputs_SupplyCurve!$AA$9:$AA$24,MATCH($B41,Inputs_SupplyCurve!$S$9:$S$24,0))*INDEX(RefTables!$D$238:$D$249,$C41)</f>
        <v>-1840326.0309349685</v>
      </c>
      <c r="J41" s="34">
        <f t="shared" si="9"/>
        <v>36659769.679027908</v>
      </c>
      <c r="K41" s="149">
        <f t="shared" si="10"/>
        <v>0</v>
      </c>
      <c r="L41" s="150">
        <f t="shared" si="11"/>
        <v>0</v>
      </c>
      <c r="M41" s="150">
        <f t="shared" si="12"/>
        <v>0</v>
      </c>
      <c r="N41" s="150">
        <f t="shared" si="8"/>
        <v>0</v>
      </c>
      <c r="O41" s="150">
        <f t="shared" si="8"/>
        <v>0</v>
      </c>
      <c r="P41" s="150">
        <f t="shared" si="13"/>
        <v>0</v>
      </c>
      <c r="Q41" s="150">
        <f t="shared" si="14"/>
        <v>0</v>
      </c>
      <c r="R41" s="186">
        <f t="shared" si="15"/>
        <v>0</v>
      </c>
    </row>
    <row r="42" spans="2:18" x14ac:dyDescent="0.35">
      <c r="B42" s="25">
        <v>2017</v>
      </c>
      <c r="C42" s="78">
        <v>12</v>
      </c>
      <c r="D42" s="135">
        <v>0</v>
      </c>
      <c r="E42" s="114">
        <v>0</v>
      </c>
      <c r="F42" s="136">
        <v>0</v>
      </c>
      <c r="G42" s="147">
        <f>INDEX(S1_BaseRefNGNoHydro!C$29:C$44,MATCH($B42,S1_BaseRefNGNoHydro!$B$8:$B$23,0))*INDEX(RefTables!$D$238:$D$249,$C42)*10^6</f>
        <v>39295328.121608011</v>
      </c>
      <c r="H42" s="34">
        <f>Inputs_AnnualElectric!D69</f>
        <v>10547030</v>
      </c>
      <c r="I42" s="34">
        <f>-INDEX(Inputs_SupplyCurve!$AA$9:$AA$24,MATCH($B42,Inputs_SupplyCurve!$S$9:$S$24,0))*INDEX(RefTables!$D$238:$D$249,$C42)</f>
        <v>-2851506.4234950258</v>
      </c>
      <c r="J42" s="34">
        <f t="shared" si="9"/>
        <v>46990851.698112987</v>
      </c>
      <c r="K42" s="149">
        <f t="shared" si="10"/>
        <v>0</v>
      </c>
      <c r="L42" s="150">
        <f t="shared" si="11"/>
        <v>0</v>
      </c>
      <c r="M42" s="150">
        <f t="shared" si="12"/>
        <v>0</v>
      </c>
      <c r="N42" s="150">
        <f t="shared" si="8"/>
        <v>0</v>
      </c>
      <c r="O42" s="150">
        <f t="shared" si="8"/>
        <v>0</v>
      </c>
      <c r="P42" s="150">
        <f t="shared" si="13"/>
        <v>0</v>
      </c>
      <c r="Q42" s="150">
        <f t="shared" si="14"/>
        <v>0</v>
      </c>
      <c r="R42" s="186">
        <f t="shared" si="15"/>
        <v>0</v>
      </c>
    </row>
    <row r="43" spans="2:18" x14ac:dyDescent="0.35">
      <c r="B43" s="25">
        <v>2018</v>
      </c>
      <c r="C43" s="78">
        <v>1</v>
      </c>
      <c r="D43" s="135">
        <v>0</v>
      </c>
      <c r="E43" s="114">
        <v>0</v>
      </c>
      <c r="F43" s="136">
        <v>0</v>
      </c>
      <c r="G43" s="147">
        <f>INDEX(S1_BaseRefNGNoHydro!C$29:C$44,MATCH($B43,S1_BaseRefNGNoHydro!$B$8:$B$23,0))*INDEX(RefTables!$D$238:$D$249,$C43)*10^6</f>
        <v>46045670.241188236</v>
      </c>
      <c r="H43" s="34">
        <f>Inputs_AnnualElectric!D70</f>
        <v>7500480</v>
      </c>
      <c r="I43" s="34">
        <f>-INDEX(Inputs_SupplyCurve!$AA$9:$AA$24,MATCH($B43,Inputs_SupplyCurve!$S$9:$S$24,0))*INDEX(RefTables!$D$238:$D$249,$C43)</f>
        <v>-3648308.422170409</v>
      </c>
      <c r="J43" s="34">
        <f t="shared" si="9"/>
        <v>49897841.819017828</v>
      </c>
      <c r="K43" s="149">
        <f t="shared" si="10"/>
        <v>0</v>
      </c>
      <c r="L43" s="150">
        <f t="shared" si="11"/>
        <v>0</v>
      </c>
      <c r="M43" s="150">
        <f t="shared" si="12"/>
        <v>0</v>
      </c>
      <c r="N43" s="150">
        <f t="shared" si="8"/>
        <v>0</v>
      </c>
      <c r="O43" s="150">
        <f t="shared" si="8"/>
        <v>0</v>
      </c>
      <c r="P43" s="150">
        <f t="shared" si="13"/>
        <v>0</v>
      </c>
      <c r="Q43" s="150">
        <f t="shared" si="14"/>
        <v>0</v>
      </c>
      <c r="R43" s="186">
        <f t="shared" si="15"/>
        <v>0</v>
      </c>
    </row>
    <row r="44" spans="2:18" x14ac:dyDescent="0.35">
      <c r="B44" s="25">
        <v>2018</v>
      </c>
      <c r="C44" s="78">
        <v>2</v>
      </c>
      <c r="D44" s="135">
        <v>0</v>
      </c>
      <c r="E44" s="114">
        <v>0</v>
      </c>
      <c r="F44" s="136">
        <v>0</v>
      </c>
      <c r="G44" s="147">
        <f>INDEX(S1_BaseRefNGNoHydro!C$29:C$44,MATCH($B44,S1_BaseRefNGNoHydro!$B$8:$B$23,0))*INDEX(RefTables!$D$238:$D$249,$C44)*10^6</f>
        <v>39992802.248009346</v>
      </c>
      <c r="H44" s="34">
        <f>Inputs_AnnualElectric!D71</f>
        <v>7475720</v>
      </c>
      <c r="I44" s="34">
        <f>-INDEX(Inputs_SupplyCurve!$AA$9:$AA$24,MATCH($B44,Inputs_SupplyCurve!$S$9:$S$24,0))*INDEX(RefTables!$D$238:$D$249,$C44)</f>
        <v>-3168725.2352577113</v>
      </c>
      <c r="J44" s="34">
        <f t="shared" si="9"/>
        <v>44299797.012751639</v>
      </c>
      <c r="K44" s="149">
        <f t="shared" si="10"/>
        <v>0</v>
      </c>
      <c r="L44" s="150">
        <f t="shared" si="11"/>
        <v>0</v>
      </c>
      <c r="M44" s="150">
        <f t="shared" si="12"/>
        <v>0</v>
      </c>
      <c r="N44" s="150">
        <f t="shared" si="8"/>
        <v>0</v>
      </c>
      <c r="O44" s="150">
        <f t="shared" si="8"/>
        <v>0</v>
      </c>
      <c r="P44" s="150">
        <f t="shared" si="13"/>
        <v>0</v>
      </c>
      <c r="Q44" s="150">
        <f t="shared" si="14"/>
        <v>0</v>
      </c>
      <c r="R44" s="186">
        <f t="shared" si="15"/>
        <v>0</v>
      </c>
    </row>
    <row r="45" spans="2:18" x14ac:dyDescent="0.35">
      <c r="B45" s="25">
        <v>2018</v>
      </c>
      <c r="C45" s="78">
        <v>3</v>
      </c>
      <c r="D45" s="135">
        <v>0</v>
      </c>
      <c r="E45" s="114">
        <v>0</v>
      </c>
      <c r="F45" s="136">
        <v>0</v>
      </c>
      <c r="G45" s="147">
        <f>INDEX(S1_BaseRefNGNoHydro!C$29:C$44,MATCH($B45,S1_BaseRefNGNoHydro!$B$8:$B$23,0))*INDEX(RefTables!$D$238:$D$249,$C45)*10^6</f>
        <v>35819208.578239143</v>
      </c>
      <c r="H45" s="34">
        <f>Inputs_AnnualElectric!D72</f>
        <v>8964780</v>
      </c>
      <c r="I45" s="34">
        <f>-INDEX(Inputs_SupplyCurve!$AA$9:$AA$24,MATCH($B45,Inputs_SupplyCurve!$S$9:$S$24,0))*INDEX(RefTables!$D$238:$D$249,$C45)</f>
        <v>-2838041.4411814664</v>
      </c>
      <c r="J45" s="34">
        <f t="shared" si="9"/>
        <v>41945947.137057677</v>
      </c>
      <c r="K45" s="149">
        <f t="shared" si="10"/>
        <v>0</v>
      </c>
      <c r="L45" s="150">
        <f t="shared" si="11"/>
        <v>0</v>
      </c>
      <c r="M45" s="150">
        <f t="shared" si="12"/>
        <v>0</v>
      </c>
      <c r="N45" s="150">
        <f t="shared" si="8"/>
        <v>0</v>
      </c>
      <c r="O45" s="150">
        <f t="shared" si="8"/>
        <v>0</v>
      </c>
      <c r="P45" s="150">
        <f t="shared" si="13"/>
        <v>0</v>
      </c>
      <c r="Q45" s="150">
        <f t="shared" si="14"/>
        <v>0</v>
      </c>
      <c r="R45" s="186">
        <f t="shared" si="15"/>
        <v>0</v>
      </c>
    </row>
    <row r="46" spans="2:18" x14ac:dyDescent="0.35">
      <c r="B46" s="25">
        <v>2018</v>
      </c>
      <c r="C46" s="78">
        <v>4</v>
      </c>
      <c r="D46" s="135">
        <v>0</v>
      </c>
      <c r="E46" s="114">
        <v>0</v>
      </c>
      <c r="F46" s="136">
        <v>0</v>
      </c>
      <c r="G46" s="147">
        <f>INDEX(S1_BaseRefNGNoHydro!C$29:C$44,MATCH($B46,S1_BaseRefNGNoHydro!$B$8:$B$23,0))*INDEX(RefTables!$D$238:$D$249,$C46)*10^6</f>
        <v>23241521.244612265</v>
      </c>
      <c r="H46" s="34">
        <f>Inputs_AnnualElectric!D73</f>
        <v>17809720</v>
      </c>
      <c r="I46" s="34">
        <f>-INDEX(Inputs_SupplyCurve!$AA$9:$AA$24,MATCH($B46,Inputs_SupplyCurve!$S$9:$S$24,0))*INDEX(RefTables!$D$238:$D$249,$C46)</f>
        <v>-1841481.2349701461</v>
      </c>
      <c r="J46" s="34">
        <f t="shared" si="9"/>
        <v>39209760.009642117</v>
      </c>
      <c r="K46" s="149">
        <f t="shared" si="10"/>
        <v>0</v>
      </c>
      <c r="L46" s="150">
        <f t="shared" si="11"/>
        <v>0</v>
      </c>
      <c r="M46" s="150">
        <f t="shared" si="12"/>
        <v>0</v>
      </c>
      <c r="N46" s="150">
        <f t="shared" si="8"/>
        <v>0</v>
      </c>
      <c r="O46" s="150">
        <f t="shared" si="8"/>
        <v>0</v>
      </c>
      <c r="P46" s="150">
        <f t="shared" si="13"/>
        <v>0</v>
      </c>
      <c r="Q46" s="150">
        <f t="shared" si="14"/>
        <v>0</v>
      </c>
      <c r="R46" s="186">
        <f t="shared" si="15"/>
        <v>0</v>
      </c>
    </row>
    <row r="47" spans="2:18" x14ac:dyDescent="0.35">
      <c r="B47" s="25">
        <v>2018</v>
      </c>
      <c r="C47" s="78">
        <v>5</v>
      </c>
      <c r="D47" s="135">
        <v>0</v>
      </c>
      <c r="E47" s="114">
        <v>0</v>
      </c>
      <c r="F47" s="136">
        <v>0</v>
      </c>
      <c r="G47" s="147">
        <f>INDEX(S1_BaseRefNGNoHydro!C$29:C$44,MATCH($B47,S1_BaseRefNGNoHydro!$B$8:$B$23,0))*INDEX(RefTables!$D$238:$D$249,$C47)*10^6</f>
        <v>13842504.172960293</v>
      </c>
      <c r="H47" s="34">
        <f>Inputs_AnnualElectric!D74</f>
        <v>17213070</v>
      </c>
      <c r="I47" s="34">
        <f>-INDEX(Inputs_SupplyCurve!$AA$9:$AA$24,MATCH($B47,Inputs_SupplyCurve!$S$9:$S$24,0))*INDEX(RefTables!$D$238:$D$249,$C47)</f>
        <v>-1096774.665101212</v>
      </c>
      <c r="J47" s="34">
        <f t="shared" si="9"/>
        <v>29958799.507859081</v>
      </c>
      <c r="K47" s="149">
        <f t="shared" si="10"/>
        <v>0</v>
      </c>
      <c r="L47" s="150">
        <f t="shared" si="11"/>
        <v>0</v>
      </c>
      <c r="M47" s="150">
        <f t="shared" si="12"/>
        <v>0</v>
      </c>
      <c r="N47" s="150">
        <f t="shared" ref="N47:O66" si="16">$J47*$E47*10^-6</f>
        <v>0</v>
      </c>
      <c r="O47" s="150">
        <f t="shared" si="16"/>
        <v>0</v>
      </c>
      <c r="P47" s="150">
        <f t="shared" si="13"/>
        <v>0</v>
      </c>
      <c r="Q47" s="150">
        <f t="shared" si="14"/>
        <v>0</v>
      </c>
      <c r="R47" s="186">
        <f t="shared" si="15"/>
        <v>0</v>
      </c>
    </row>
    <row r="48" spans="2:18" x14ac:dyDescent="0.35">
      <c r="B48" s="25">
        <v>2018</v>
      </c>
      <c r="C48" s="78">
        <v>6</v>
      </c>
      <c r="D48" s="135">
        <v>0</v>
      </c>
      <c r="E48" s="114">
        <v>0</v>
      </c>
      <c r="F48" s="136">
        <v>0</v>
      </c>
      <c r="G48" s="147">
        <f>INDEX(S1_BaseRefNGNoHydro!C$29:C$44,MATCH($B48,S1_BaseRefNGNoHydro!$B$8:$B$23,0))*INDEX(RefTables!$D$238:$D$249,$C48)*10^6</f>
        <v>8847303.8697201554</v>
      </c>
      <c r="H48" s="34">
        <f>Inputs_AnnualElectric!D75</f>
        <v>20568860</v>
      </c>
      <c r="I48" s="34">
        <f>-INDEX(Inputs_SupplyCurve!$AA$9:$AA$24,MATCH($B48,Inputs_SupplyCurve!$S$9:$S$24,0))*INDEX(RefTables!$D$238:$D$249,$C48)</f>
        <v>-700993.01524615951</v>
      </c>
      <c r="J48" s="34">
        <f t="shared" si="9"/>
        <v>28715170.854473993</v>
      </c>
      <c r="K48" s="149">
        <f t="shared" si="10"/>
        <v>0</v>
      </c>
      <c r="L48" s="150">
        <f t="shared" si="11"/>
        <v>0</v>
      </c>
      <c r="M48" s="150">
        <f t="shared" si="12"/>
        <v>0</v>
      </c>
      <c r="N48" s="150">
        <f t="shared" si="16"/>
        <v>0</v>
      </c>
      <c r="O48" s="150">
        <f t="shared" si="16"/>
        <v>0</v>
      </c>
      <c r="P48" s="150">
        <f t="shared" si="13"/>
        <v>0</v>
      </c>
      <c r="Q48" s="150">
        <f t="shared" si="14"/>
        <v>0</v>
      </c>
      <c r="R48" s="186">
        <f t="shared" si="15"/>
        <v>0</v>
      </c>
    </row>
    <row r="49" spans="2:18" x14ac:dyDescent="0.35">
      <c r="B49" s="25">
        <v>2018</v>
      </c>
      <c r="C49" s="78">
        <v>7</v>
      </c>
      <c r="D49" s="135">
        <v>0</v>
      </c>
      <c r="E49" s="114">
        <v>0</v>
      </c>
      <c r="F49" s="136">
        <v>0</v>
      </c>
      <c r="G49" s="147">
        <f>INDEX(S1_BaseRefNGNoHydro!C$29:C$44,MATCH($B49,S1_BaseRefNGNoHydro!$B$8:$B$23,0))*INDEX(RefTables!$D$238:$D$249,$C49)*10^6</f>
        <v>7436549.257275315</v>
      </c>
      <c r="H49" s="34">
        <f>Inputs_AnnualElectric!D76</f>
        <v>27314740</v>
      </c>
      <c r="I49" s="34">
        <f>-INDEX(Inputs_SupplyCurve!$AA$9:$AA$24,MATCH($B49,Inputs_SupplyCurve!$S$9:$S$24,0))*INDEX(RefTables!$D$238:$D$249,$C49)</f>
        <v>-589215.55805552995</v>
      </c>
      <c r="J49" s="34">
        <f t="shared" si="9"/>
        <v>34162073.699219786</v>
      </c>
      <c r="K49" s="149">
        <f t="shared" si="10"/>
        <v>0</v>
      </c>
      <c r="L49" s="150">
        <f t="shared" si="11"/>
        <v>0</v>
      </c>
      <c r="M49" s="150">
        <f t="shared" si="12"/>
        <v>0</v>
      </c>
      <c r="N49" s="150">
        <f t="shared" si="16"/>
        <v>0</v>
      </c>
      <c r="O49" s="150">
        <f t="shared" si="16"/>
        <v>0</v>
      </c>
      <c r="P49" s="150">
        <f t="shared" si="13"/>
        <v>0</v>
      </c>
      <c r="Q49" s="150">
        <f t="shared" si="14"/>
        <v>0</v>
      </c>
      <c r="R49" s="186">
        <f t="shared" si="15"/>
        <v>0</v>
      </c>
    </row>
    <row r="50" spans="2:18" x14ac:dyDescent="0.35">
      <c r="B50" s="25">
        <v>2018</v>
      </c>
      <c r="C50" s="78">
        <v>8</v>
      </c>
      <c r="D50" s="135">
        <v>0</v>
      </c>
      <c r="E50" s="114">
        <v>0</v>
      </c>
      <c r="F50" s="136">
        <v>0</v>
      </c>
      <c r="G50" s="147">
        <f>INDEX(S1_BaseRefNGNoHydro!C$29:C$44,MATCH($B50,S1_BaseRefNGNoHydro!$B$8:$B$23,0))*INDEX(RefTables!$D$238:$D$249,$C50)*10^6</f>
        <v>7585881.2668924145</v>
      </c>
      <c r="H50" s="34">
        <f>Inputs_AnnualElectric!D77</f>
        <v>27155180</v>
      </c>
      <c r="I50" s="34">
        <f>-INDEX(Inputs_SupplyCurve!$AA$9:$AA$24,MATCH($B50,Inputs_SupplyCurve!$S$9:$S$24,0))*INDEX(RefTables!$D$238:$D$249,$C50)</f>
        <v>-601047.48982092657</v>
      </c>
      <c r="J50" s="34">
        <f t="shared" si="9"/>
        <v>34140013.777071491</v>
      </c>
      <c r="K50" s="149">
        <f t="shared" si="10"/>
        <v>0</v>
      </c>
      <c r="L50" s="150">
        <f t="shared" si="11"/>
        <v>0</v>
      </c>
      <c r="M50" s="150">
        <f t="shared" si="12"/>
        <v>0</v>
      </c>
      <c r="N50" s="150">
        <f t="shared" si="16"/>
        <v>0</v>
      </c>
      <c r="O50" s="150">
        <f t="shared" si="16"/>
        <v>0</v>
      </c>
      <c r="P50" s="150">
        <f t="shared" si="13"/>
        <v>0</v>
      </c>
      <c r="Q50" s="150">
        <f t="shared" si="14"/>
        <v>0</v>
      </c>
      <c r="R50" s="186">
        <f t="shared" si="15"/>
        <v>0</v>
      </c>
    </row>
    <row r="51" spans="2:18" x14ac:dyDescent="0.35">
      <c r="B51" s="25">
        <v>2018</v>
      </c>
      <c r="C51" s="78">
        <v>9</v>
      </c>
      <c r="D51" s="135">
        <v>0</v>
      </c>
      <c r="E51" s="114">
        <v>0</v>
      </c>
      <c r="F51" s="136">
        <v>0</v>
      </c>
      <c r="G51" s="147">
        <f>INDEX(S1_BaseRefNGNoHydro!C$29:C$44,MATCH($B51,S1_BaseRefNGNoHydro!$B$8:$B$23,0))*INDEX(RefTables!$D$238:$D$249,$C51)*10^6</f>
        <v>9113459.4188138545</v>
      </c>
      <c r="H51" s="34">
        <f>Inputs_AnnualElectric!D78</f>
        <v>21333290</v>
      </c>
      <c r="I51" s="34">
        <f>-INDEX(Inputs_SupplyCurve!$AA$9:$AA$24,MATCH($B51,Inputs_SupplyCurve!$S$9:$S$24,0))*INDEX(RefTables!$D$238:$D$249,$C51)</f>
        <v>-722081.1550490926</v>
      </c>
      <c r="J51" s="34">
        <f t="shared" si="9"/>
        <v>29724668.263764761</v>
      </c>
      <c r="K51" s="149">
        <f t="shared" si="10"/>
        <v>0</v>
      </c>
      <c r="L51" s="150">
        <f t="shared" si="11"/>
        <v>0</v>
      </c>
      <c r="M51" s="150">
        <f t="shared" si="12"/>
        <v>0</v>
      </c>
      <c r="N51" s="150">
        <f t="shared" si="16"/>
        <v>0</v>
      </c>
      <c r="O51" s="150">
        <f t="shared" si="16"/>
        <v>0</v>
      </c>
      <c r="P51" s="150">
        <f t="shared" si="13"/>
        <v>0</v>
      </c>
      <c r="Q51" s="150">
        <f t="shared" si="14"/>
        <v>0</v>
      </c>
      <c r="R51" s="186">
        <f t="shared" si="15"/>
        <v>0</v>
      </c>
    </row>
    <row r="52" spans="2:18" x14ac:dyDescent="0.35">
      <c r="B52" s="25">
        <v>2018</v>
      </c>
      <c r="C52" s="78">
        <v>10</v>
      </c>
      <c r="D52" s="135">
        <v>0</v>
      </c>
      <c r="E52" s="114">
        <v>0</v>
      </c>
      <c r="F52" s="136">
        <v>0</v>
      </c>
      <c r="G52" s="147">
        <f>INDEX(S1_BaseRefNGNoHydro!C$29:C$44,MATCH($B52,S1_BaseRefNGNoHydro!$B$8:$B$23,0))*INDEX(RefTables!$D$238:$D$249,$C52)*10^6</f>
        <v>16177310.172021365</v>
      </c>
      <c r="H52" s="34">
        <f>Inputs_AnnualElectric!D79</f>
        <v>22199340</v>
      </c>
      <c r="I52" s="34">
        <f>-INDEX(Inputs_SupplyCurve!$AA$9:$AA$24,MATCH($B52,Inputs_SupplyCurve!$S$9:$S$24,0))*INDEX(RefTables!$D$238:$D$249,$C52)</f>
        <v>-1281766.9205269786</v>
      </c>
      <c r="J52" s="34">
        <f t="shared" si="9"/>
        <v>37094883.251494385</v>
      </c>
      <c r="K52" s="149">
        <f t="shared" si="10"/>
        <v>0</v>
      </c>
      <c r="L52" s="150">
        <f t="shared" si="11"/>
        <v>0</v>
      </c>
      <c r="M52" s="150">
        <f t="shared" si="12"/>
        <v>0</v>
      </c>
      <c r="N52" s="150">
        <f t="shared" si="16"/>
        <v>0</v>
      </c>
      <c r="O52" s="150">
        <f t="shared" si="16"/>
        <v>0</v>
      </c>
      <c r="P52" s="150">
        <f t="shared" si="13"/>
        <v>0</v>
      </c>
      <c r="Q52" s="150">
        <f t="shared" si="14"/>
        <v>0</v>
      </c>
      <c r="R52" s="186">
        <f t="shared" si="15"/>
        <v>0</v>
      </c>
    </row>
    <row r="53" spans="2:18" x14ac:dyDescent="0.35">
      <c r="B53" s="25">
        <v>2018</v>
      </c>
      <c r="C53" s="78">
        <v>11</v>
      </c>
      <c r="D53" s="135">
        <v>0</v>
      </c>
      <c r="E53" s="114">
        <v>0</v>
      </c>
      <c r="F53" s="136">
        <v>0</v>
      </c>
      <c r="G53" s="147">
        <f>INDEX(S1_BaseRefNGNoHydro!C$29:C$44,MATCH($B53,S1_BaseRefNGNoHydro!$B$8:$B$23,0))*INDEX(RefTables!$D$238:$D$249,$C53)*10^6</f>
        <v>25711875.032695267</v>
      </c>
      <c r="H53" s="34">
        <f>Inputs_AnnualElectric!D80</f>
        <v>10856940</v>
      </c>
      <c r="I53" s="34">
        <f>-INDEX(Inputs_SupplyCurve!$AA$9:$AA$24,MATCH($B53,Inputs_SupplyCurve!$S$9:$S$24,0))*INDEX(RefTables!$D$238:$D$249,$C53)</f>
        <v>-2037213.2654432729</v>
      </c>
      <c r="J53" s="34">
        <f t="shared" si="9"/>
        <v>34531601.767251991</v>
      </c>
      <c r="K53" s="149">
        <f t="shared" si="10"/>
        <v>0</v>
      </c>
      <c r="L53" s="150">
        <f t="shared" si="11"/>
        <v>0</v>
      </c>
      <c r="M53" s="150">
        <f t="shared" si="12"/>
        <v>0</v>
      </c>
      <c r="N53" s="150">
        <f t="shared" si="16"/>
        <v>0</v>
      </c>
      <c r="O53" s="150">
        <f t="shared" si="16"/>
        <v>0</v>
      </c>
      <c r="P53" s="150">
        <f t="shared" si="13"/>
        <v>0</v>
      </c>
      <c r="Q53" s="150">
        <f t="shared" si="14"/>
        <v>0</v>
      </c>
      <c r="R53" s="186">
        <f t="shared" si="15"/>
        <v>0</v>
      </c>
    </row>
    <row r="54" spans="2:18" x14ac:dyDescent="0.35">
      <c r="B54" s="25">
        <v>2018</v>
      </c>
      <c r="C54" s="78">
        <v>12</v>
      </c>
      <c r="D54" s="135">
        <v>0</v>
      </c>
      <c r="E54" s="114">
        <v>0</v>
      </c>
      <c r="F54" s="136">
        <v>0</v>
      </c>
      <c r="G54" s="147">
        <f>INDEX(S1_BaseRefNGNoHydro!C$29:C$44,MATCH($B54,S1_BaseRefNGNoHydro!$B$8:$B$23,0))*INDEX(RefTables!$D$238:$D$249,$C54)*10^6</f>
        <v>39839449.957996473</v>
      </c>
      <c r="H54" s="34">
        <f>Inputs_AnnualElectric!D81</f>
        <v>10727870</v>
      </c>
      <c r="I54" s="34">
        <f>-INDEX(Inputs_SupplyCurve!$AA$9:$AA$24,MATCH($B54,Inputs_SupplyCurve!$S$9:$S$24,0))*INDEX(RefTables!$D$238:$D$249,$C54)</f>
        <v>-3156574.7670750883</v>
      </c>
      <c r="J54" s="34">
        <f t="shared" si="9"/>
        <v>47410745.190921381</v>
      </c>
      <c r="K54" s="149">
        <f t="shared" si="10"/>
        <v>0</v>
      </c>
      <c r="L54" s="150">
        <f t="shared" si="11"/>
        <v>0</v>
      </c>
      <c r="M54" s="150">
        <f t="shared" si="12"/>
        <v>0</v>
      </c>
      <c r="N54" s="150">
        <f t="shared" si="16"/>
        <v>0</v>
      </c>
      <c r="O54" s="150">
        <f t="shared" si="16"/>
        <v>0</v>
      </c>
      <c r="P54" s="150">
        <f t="shared" si="13"/>
        <v>0</v>
      </c>
      <c r="Q54" s="150">
        <f t="shared" si="14"/>
        <v>0</v>
      </c>
      <c r="R54" s="186">
        <f t="shared" si="15"/>
        <v>0</v>
      </c>
    </row>
    <row r="55" spans="2:18" x14ac:dyDescent="0.35">
      <c r="B55" s="25">
        <v>2019</v>
      </c>
      <c r="C55" s="78">
        <v>1</v>
      </c>
      <c r="D55" s="135">
        <v>0</v>
      </c>
      <c r="E55" s="114">
        <v>0</v>
      </c>
      <c r="F55" s="136">
        <v>0</v>
      </c>
      <c r="G55" s="147">
        <f>INDEX(S1_BaseRefNGNoHydro!C$29:C$44,MATCH($B55,S1_BaseRefNGNoHydro!$B$8:$B$23,0))*INDEX(RefTables!$D$238:$D$249,$C55)*10^6</f>
        <v>46699128.445146903</v>
      </c>
      <c r="H55" s="34">
        <f>Inputs_AnnualElectric!D82</f>
        <v>7045490</v>
      </c>
      <c r="I55" s="34">
        <f>-INDEX(Inputs_SupplyCurve!$AA$9:$AA$24,MATCH($B55,Inputs_SupplyCurve!$S$9:$S$24,0))*INDEX(RefTables!$D$238:$D$249,$C55)</f>
        <v>-3974075.6039765989</v>
      </c>
      <c r="J55" s="34">
        <f t="shared" si="9"/>
        <v>49770542.841170304</v>
      </c>
      <c r="K55" s="149">
        <f t="shared" si="10"/>
        <v>0</v>
      </c>
      <c r="L55" s="150">
        <f t="shared" si="11"/>
        <v>0</v>
      </c>
      <c r="M55" s="150">
        <f t="shared" si="12"/>
        <v>0</v>
      </c>
      <c r="N55" s="150">
        <f t="shared" si="16"/>
        <v>0</v>
      </c>
      <c r="O55" s="150">
        <f t="shared" si="16"/>
        <v>0</v>
      </c>
      <c r="P55" s="150">
        <f t="shared" si="13"/>
        <v>0</v>
      </c>
      <c r="Q55" s="150">
        <f t="shared" si="14"/>
        <v>0</v>
      </c>
      <c r="R55" s="186">
        <f t="shared" si="15"/>
        <v>0</v>
      </c>
    </row>
    <row r="56" spans="2:18" x14ac:dyDescent="0.35">
      <c r="B56" s="25">
        <v>2019</v>
      </c>
      <c r="C56" s="78">
        <v>2</v>
      </c>
      <c r="D56" s="135">
        <v>0</v>
      </c>
      <c r="E56" s="114">
        <v>0</v>
      </c>
      <c r="F56" s="136">
        <v>0</v>
      </c>
      <c r="G56" s="147">
        <f>INDEX(S1_BaseRefNGNoHydro!C$29:C$44,MATCH($B56,S1_BaseRefNGNoHydro!$B$8:$B$23,0))*INDEX(RefTables!$D$238:$D$249,$C56)*10^6</f>
        <v>40560361.034565613</v>
      </c>
      <c r="H56" s="34">
        <f>Inputs_AnnualElectric!D83</f>
        <v>6658060</v>
      </c>
      <c r="I56" s="34">
        <f>-INDEX(Inputs_SupplyCurve!$AA$9:$AA$24,MATCH($B56,Inputs_SupplyCurve!$S$9:$S$24,0))*INDEX(RefTables!$D$238:$D$249,$C56)</f>
        <v>-3451669.1562088784</v>
      </c>
      <c r="J56" s="34">
        <f t="shared" si="9"/>
        <v>43766751.878356732</v>
      </c>
      <c r="K56" s="149">
        <f t="shared" si="10"/>
        <v>0</v>
      </c>
      <c r="L56" s="150">
        <f t="shared" si="11"/>
        <v>0</v>
      </c>
      <c r="M56" s="150">
        <f t="shared" si="12"/>
        <v>0</v>
      </c>
      <c r="N56" s="150">
        <f t="shared" si="16"/>
        <v>0</v>
      </c>
      <c r="O56" s="150">
        <f t="shared" si="16"/>
        <v>0</v>
      </c>
      <c r="P56" s="150">
        <f t="shared" si="13"/>
        <v>0</v>
      </c>
      <c r="Q56" s="150">
        <f t="shared" si="14"/>
        <v>0</v>
      </c>
      <c r="R56" s="186">
        <f t="shared" si="15"/>
        <v>0</v>
      </c>
    </row>
    <row r="57" spans="2:18" x14ac:dyDescent="0.35">
      <c r="B57" s="25">
        <v>2019</v>
      </c>
      <c r="C57" s="78">
        <v>3</v>
      </c>
      <c r="D57" s="135">
        <v>0</v>
      </c>
      <c r="E57" s="114">
        <v>0</v>
      </c>
      <c r="F57" s="136">
        <v>0</v>
      </c>
      <c r="G57" s="147">
        <f>INDEX(S1_BaseRefNGNoHydro!C$29:C$44,MATCH($B57,S1_BaseRefNGNoHydro!$B$8:$B$23,0))*INDEX(RefTables!$D$238:$D$249,$C57)*10^6</f>
        <v>36327537.712816924</v>
      </c>
      <c r="H57" s="34">
        <f>Inputs_AnnualElectric!D84</f>
        <v>9106470</v>
      </c>
      <c r="I57" s="34">
        <f>-INDEX(Inputs_SupplyCurve!$AA$9:$AA$24,MATCH($B57,Inputs_SupplyCurve!$S$9:$S$24,0))*INDEX(RefTables!$D$238:$D$249,$C57)</f>
        <v>-3091457.7248828448</v>
      </c>
      <c r="J57" s="34">
        <f t="shared" si="9"/>
        <v>42342549.987934083</v>
      </c>
      <c r="K57" s="149">
        <f t="shared" si="10"/>
        <v>0</v>
      </c>
      <c r="L57" s="150">
        <f t="shared" si="11"/>
        <v>0</v>
      </c>
      <c r="M57" s="150">
        <f t="shared" si="12"/>
        <v>0</v>
      </c>
      <c r="N57" s="150">
        <f t="shared" si="16"/>
        <v>0</v>
      </c>
      <c r="O57" s="150">
        <f t="shared" si="16"/>
        <v>0</v>
      </c>
      <c r="P57" s="150">
        <f t="shared" si="13"/>
        <v>0</v>
      </c>
      <c r="Q57" s="150">
        <f t="shared" si="14"/>
        <v>0</v>
      </c>
      <c r="R57" s="186">
        <f t="shared" si="15"/>
        <v>0</v>
      </c>
    </row>
    <row r="58" spans="2:18" x14ac:dyDescent="0.35">
      <c r="B58" s="25">
        <v>2019</v>
      </c>
      <c r="C58" s="78">
        <v>4</v>
      </c>
      <c r="D58" s="135">
        <v>0</v>
      </c>
      <c r="E58" s="114">
        <v>0</v>
      </c>
      <c r="F58" s="136">
        <v>0</v>
      </c>
      <c r="G58" s="147">
        <f>INDEX(S1_BaseRefNGNoHydro!C$29:C$44,MATCH($B58,S1_BaseRefNGNoHydro!$B$8:$B$23,0))*INDEX(RefTables!$D$238:$D$249,$C58)*10^6</f>
        <v>23571353.835824858</v>
      </c>
      <c r="H58" s="34">
        <f>Inputs_AnnualElectric!D85</f>
        <v>21757270</v>
      </c>
      <c r="I58" s="34">
        <f>-INDEX(Inputs_SupplyCurve!$AA$9:$AA$24,MATCH($B58,Inputs_SupplyCurve!$S$9:$S$24,0))*INDEX(RefTables!$D$238:$D$249,$C58)</f>
        <v>-2005912.0020126773</v>
      </c>
      <c r="J58" s="34">
        <f t="shared" si="9"/>
        <v>43322711.833812185</v>
      </c>
      <c r="K58" s="149">
        <f t="shared" si="10"/>
        <v>0</v>
      </c>
      <c r="L58" s="150">
        <f t="shared" si="11"/>
        <v>0</v>
      </c>
      <c r="M58" s="150">
        <f t="shared" si="12"/>
        <v>0</v>
      </c>
      <c r="N58" s="150">
        <f t="shared" si="16"/>
        <v>0</v>
      </c>
      <c r="O58" s="150">
        <f t="shared" si="16"/>
        <v>0</v>
      </c>
      <c r="P58" s="150">
        <f t="shared" si="13"/>
        <v>0</v>
      </c>
      <c r="Q58" s="150">
        <f t="shared" si="14"/>
        <v>0</v>
      </c>
      <c r="R58" s="186">
        <f t="shared" si="15"/>
        <v>0</v>
      </c>
    </row>
    <row r="59" spans="2:18" x14ac:dyDescent="0.35">
      <c r="B59" s="25">
        <v>2019</v>
      </c>
      <c r="C59" s="78">
        <v>5</v>
      </c>
      <c r="D59" s="135">
        <v>0</v>
      </c>
      <c r="E59" s="114">
        <v>0</v>
      </c>
      <c r="F59" s="136">
        <v>0</v>
      </c>
      <c r="G59" s="147">
        <f>INDEX(S1_BaseRefNGNoHydro!C$29:C$44,MATCH($B59,S1_BaseRefNGNoHydro!$B$8:$B$23,0))*INDEX(RefTables!$D$238:$D$249,$C59)*10^6</f>
        <v>14038950.394022396</v>
      </c>
      <c r="H59" s="34">
        <f>Inputs_AnnualElectric!D86</f>
        <v>21561090</v>
      </c>
      <c r="I59" s="34">
        <f>-INDEX(Inputs_SupplyCurve!$AA$9:$AA$24,MATCH($B59,Inputs_SupplyCurve!$S$9:$S$24,0))*INDEX(RefTables!$D$238:$D$249,$C59)</f>
        <v>-1194708.5978672069</v>
      </c>
      <c r="J59" s="34">
        <f t="shared" si="9"/>
        <v>34405331.796155192</v>
      </c>
      <c r="K59" s="149">
        <f t="shared" si="10"/>
        <v>0</v>
      </c>
      <c r="L59" s="150">
        <f t="shared" si="11"/>
        <v>0</v>
      </c>
      <c r="M59" s="150">
        <f t="shared" si="12"/>
        <v>0</v>
      </c>
      <c r="N59" s="150">
        <f t="shared" si="16"/>
        <v>0</v>
      </c>
      <c r="O59" s="150">
        <f t="shared" si="16"/>
        <v>0</v>
      </c>
      <c r="P59" s="150">
        <f t="shared" si="13"/>
        <v>0</v>
      </c>
      <c r="Q59" s="150">
        <f t="shared" si="14"/>
        <v>0</v>
      </c>
      <c r="R59" s="186">
        <f t="shared" si="15"/>
        <v>0</v>
      </c>
    </row>
    <row r="60" spans="2:18" x14ac:dyDescent="0.35">
      <c r="B60" s="25">
        <v>2019</v>
      </c>
      <c r="C60" s="78">
        <v>6</v>
      </c>
      <c r="D60" s="135">
        <v>0</v>
      </c>
      <c r="E60" s="114">
        <v>0</v>
      </c>
      <c r="F60" s="136">
        <v>0</v>
      </c>
      <c r="G60" s="147">
        <f>INDEX(S1_BaseRefNGNoHydro!C$29:C$44,MATCH($B60,S1_BaseRefNGNoHydro!$B$8:$B$23,0))*INDEX(RefTables!$D$238:$D$249,$C60)*10^6</f>
        <v>8972860.5890881475</v>
      </c>
      <c r="H60" s="34">
        <f>Inputs_AnnualElectric!D87</f>
        <v>21005500</v>
      </c>
      <c r="I60" s="34">
        <f>-INDEX(Inputs_SupplyCurve!$AA$9:$AA$24,MATCH($B60,Inputs_SupplyCurve!$S$9:$S$24,0))*INDEX(RefTables!$D$238:$D$249,$C60)</f>
        <v>-763586.54973322235</v>
      </c>
      <c r="J60" s="34">
        <f t="shared" si="9"/>
        <v>29214774.039354928</v>
      </c>
      <c r="K60" s="149">
        <f t="shared" si="10"/>
        <v>0</v>
      </c>
      <c r="L60" s="150">
        <f t="shared" si="11"/>
        <v>0</v>
      </c>
      <c r="M60" s="150">
        <f t="shared" si="12"/>
        <v>0</v>
      </c>
      <c r="N60" s="150">
        <f t="shared" si="16"/>
        <v>0</v>
      </c>
      <c r="O60" s="150">
        <f t="shared" si="16"/>
        <v>0</v>
      </c>
      <c r="P60" s="150">
        <f t="shared" si="13"/>
        <v>0</v>
      </c>
      <c r="Q60" s="150">
        <f t="shared" si="14"/>
        <v>0</v>
      </c>
      <c r="R60" s="186">
        <f t="shared" si="15"/>
        <v>0</v>
      </c>
    </row>
    <row r="61" spans="2:18" x14ac:dyDescent="0.35">
      <c r="B61" s="25">
        <v>2019</v>
      </c>
      <c r="C61" s="78">
        <v>7</v>
      </c>
      <c r="D61" s="135">
        <v>0</v>
      </c>
      <c r="E61" s="114">
        <v>0</v>
      </c>
      <c r="F61" s="136">
        <v>0</v>
      </c>
      <c r="G61" s="147">
        <f>INDEX(S1_BaseRefNGNoHydro!C$29:C$44,MATCH($B61,S1_BaseRefNGNoHydro!$B$8:$B$23,0))*INDEX(RefTables!$D$238:$D$249,$C61)*10^6</f>
        <v>7542085.2196330205</v>
      </c>
      <c r="H61" s="34">
        <f>Inputs_AnnualElectric!D88</f>
        <v>28127690</v>
      </c>
      <c r="I61" s="34">
        <f>-INDEX(Inputs_SupplyCurve!$AA$9:$AA$24,MATCH($B61,Inputs_SupplyCurve!$S$9:$S$24,0))*INDEX(RefTables!$D$238:$D$249,$C61)</f>
        <v>-641828.18550162739</v>
      </c>
      <c r="J61" s="34">
        <f t="shared" si="9"/>
        <v>35027947.034131393</v>
      </c>
      <c r="K61" s="149">
        <f t="shared" si="10"/>
        <v>0</v>
      </c>
      <c r="L61" s="150">
        <f t="shared" si="11"/>
        <v>0</v>
      </c>
      <c r="M61" s="150">
        <f t="shared" si="12"/>
        <v>0</v>
      </c>
      <c r="N61" s="150">
        <f t="shared" si="16"/>
        <v>0</v>
      </c>
      <c r="O61" s="150">
        <f t="shared" si="16"/>
        <v>0</v>
      </c>
      <c r="P61" s="150">
        <f t="shared" si="13"/>
        <v>0</v>
      </c>
      <c r="Q61" s="150">
        <f t="shared" si="14"/>
        <v>0</v>
      </c>
      <c r="R61" s="186">
        <f t="shared" si="15"/>
        <v>0</v>
      </c>
    </row>
    <row r="62" spans="2:18" x14ac:dyDescent="0.35">
      <c r="B62" s="25">
        <v>2019</v>
      </c>
      <c r="C62" s="78">
        <v>8</v>
      </c>
      <c r="D62" s="135">
        <v>0</v>
      </c>
      <c r="E62" s="114">
        <v>0</v>
      </c>
      <c r="F62" s="136">
        <v>0</v>
      </c>
      <c r="G62" s="147">
        <f>INDEX(S1_BaseRefNGNoHydro!C$29:C$44,MATCH($B62,S1_BaseRefNGNoHydro!$B$8:$B$23,0))*INDEX(RefTables!$D$238:$D$249,$C62)*10^6</f>
        <v>7693536.4779500905</v>
      </c>
      <c r="H62" s="34">
        <f>Inputs_AnnualElectric!D89</f>
        <v>27173130</v>
      </c>
      <c r="I62" s="34">
        <f>-INDEX(Inputs_SupplyCurve!$AA$9:$AA$24,MATCH($B62,Inputs_SupplyCurve!$S$9:$S$24,0))*INDEX(RefTables!$D$238:$D$249,$C62)</f>
        <v>-654716.62198661233</v>
      </c>
      <c r="J62" s="34">
        <f t="shared" si="9"/>
        <v>34211949.855963476</v>
      </c>
      <c r="K62" s="149">
        <f t="shared" si="10"/>
        <v>0</v>
      </c>
      <c r="L62" s="150">
        <f t="shared" si="11"/>
        <v>0</v>
      </c>
      <c r="M62" s="150">
        <f t="shared" si="12"/>
        <v>0</v>
      </c>
      <c r="N62" s="150">
        <f t="shared" si="16"/>
        <v>0</v>
      </c>
      <c r="O62" s="150">
        <f t="shared" si="16"/>
        <v>0</v>
      </c>
      <c r="P62" s="150">
        <f t="shared" si="13"/>
        <v>0</v>
      </c>
      <c r="Q62" s="150">
        <f t="shared" si="14"/>
        <v>0</v>
      </c>
      <c r="R62" s="186">
        <f t="shared" si="15"/>
        <v>0</v>
      </c>
    </row>
    <row r="63" spans="2:18" x14ac:dyDescent="0.35">
      <c r="B63" s="25">
        <v>2019</v>
      </c>
      <c r="C63" s="78">
        <v>9</v>
      </c>
      <c r="D63" s="135">
        <v>0</v>
      </c>
      <c r="E63" s="114">
        <v>0</v>
      </c>
      <c r="F63" s="136">
        <v>0</v>
      </c>
      <c r="G63" s="147">
        <f>INDEX(S1_BaseRefNGNoHydro!C$29:C$44,MATCH($B63,S1_BaseRefNGNoHydro!$B$8:$B$23,0))*INDEX(RefTables!$D$238:$D$249,$C63)*10^6</f>
        <v>9242793.2908690255</v>
      </c>
      <c r="H63" s="34">
        <f>Inputs_AnnualElectric!D90</f>
        <v>21352540</v>
      </c>
      <c r="I63" s="34">
        <f>-INDEX(Inputs_SupplyCurve!$AA$9:$AA$24,MATCH($B63,Inputs_SupplyCurve!$S$9:$S$24,0))*INDEX(RefTables!$D$238:$D$249,$C63)</f>
        <v>-786557.70573933306</v>
      </c>
      <c r="J63" s="34">
        <f t="shared" si="9"/>
        <v>29808775.585129693</v>
      </c>
      <c r="K63" s="149">
        <f t="shared" si="10"/>
        <v>0</v>
      </c>
      <c r="L63" s="150">
        <f t="shared" si="11"/>
        <v>0</v>
      </c>
      <c r="M63" s="150">
        <f t="shared" si="12"/>
        <v>0</v>
      </c>
      <c r="N63" s="150">
        <f t="shared" si="16"/>
        <v>0</v>
      </c>
      <c r="O63" s="150">
        <f t="shared" si="16"/>
        <v>0</v>
      </c>
      <c r="P63" s="150">
        <f t="shared" si="13"/>
        <v>0</v>
      </c>
      <c r="Q63" s="150">
        <f t="shared" si="14"/>
        <v>0</v>
      </c>
      <c r="R63" s="186">
        <f t="shared" si="15"/>
        <v>0</v>
      </c>
    </row>
    <row r="64" spans="2:18" x14ac:dyDescent="0.35">
      <c r="B64" s="25">
        <v>2019</v>
      </c>
      <c r="C64" s="78">
        <v>10</v>
      </c>
      <c r="D64" s="135">
        <v>0</v>
      </c>
      <c r="E64" s="114">
        <v>0</v>
      </c>
      <c r="F64" s="136">
        <v>0</v>
      </c>
      <c r="G64" s="147">
        <f>INDEX(S1_BaseRefNGNoHydro!C$29:C$44,MATCH($B64,S1_BaseRefNGNoHydro!$B$8:$B$23,0))*INDEX(RefTables!$D$238:$D$249,$C64)*10^6</f>
        <v>16406890.846914778</v>
      </c>
      <c r="H64" s="34">
        <f>Inputs_AnnualElectric!D91</f>
        <v>19645100</v>
      </c>
      <c r="I64" s="34">
        <f>-INDEX(Inputs_SupplyCurve!$AA$9:$AA$24,MATCH($B64,Inputs_SupplyCurve!$S$9:$S$24,0))*INDEX(RefTables!$D$238:$D$249,$C64)</f>
        <v>-1396219.3047867676</v>
      </c>
      <c r="J64" s="34">
        <f t="shared" si="9"/>
        <v>34655771.542128012</v>
      </c>
      <c r="K64" s="149">
        <f t="shared" si="10"/>
        <v>0</v>
      </c>
      <c r="L64" s="150">
        <f t="shared" si="11"/>
        <v>0</v>
      </c>
      <c r="M64" s="150">
        <f t="shared" si="12"/>
        <v>0</v>
      </c>
      <c r="N64" s="150">
        <f t="shared" si="16"/>
        <v>0</v>
      </c>
      <c r="O64" s="150">
        <f t="shared" si="16"/>
        <v>0</v>
      </c>
      <c r="P64" s="150">
        <f t="shared" si="13"/>
        <v>0</v>
      </c>
      <c r="Q64" s="150">
        <f t="shared" si="14"/>
        <v>0</v>
      </c>
      <c r="R64" s="186">
        <f t="shared" si="15"/>
        <v>0</v>
      </c>
    </row>
    <row r="65" spans="2:18" x14ac:dyDescent="0.35">
      <c r="B65" s="25">
        <v>2019</v>
      </c>
      <c r="C65" s="78">
        <v>11</v>
      </c>
      <c r="D65" s="135">
        <v>0</v>
      </c>
      <c r="E65" s="114">
        <v>0</v>
      </c>
      <c r="F65" s="136">
        <v>0</v>
      </c>
      <c r="G65" s="147">
        <f>INDEX(S1_BaseRefNGNoHydro!C$29:C$44,MATCH($B65,S1_BaseRefNGNoHydro!$B$8:$B$23,0))*INDEX(RefTables!$D$238:$D$249,$C65)*10^6</f>
        <v>26076765.707350839</v>
      </c>
      <c r="H65" s="34">
        <f>Inputs_AnnualElectric!D92</f>
        <v>11403880</v>
      </c>
      <c r="I65" s="34">
        <f>-INDEX(Inputs_SupplyCurve!$AA$9:$AA$24,MATCH($B65,Inputs_SupplyCurve!$S$9:$S$24,0))*INDEX(RefTables!$D$238:$D$249,$C65)</f>
        <v>-2219121.4671152206</v>
      </c>
      <c r="J65" s="34">
        <f t="shared" si="9"/>
        <v>35261524.240235612</v>
      </c>
      <c r="K65" s="149">
        <f t="shared" si="10"/>
        <v>0</v>
      </c>
      <c r="L65" s="150">
        <f t="shared" si="11"/>
        <v>0</v>
      </c>
      <c r="M65" s="150">
        <f t="shared" si="12"/>
        <v>0</v>
      </c>
      <c r="N65" s="150">
        <f t="shared" si="16"/>
        <v>0</v>
      </c>
      <c r="O65" s="150">
        <f t="shared" si="16"/>
        <v>0</v>
      </c>
      <c r="P65" s="150">
        <f t="shared" si="13"/>
        <v>0</v>
      </c>
      <c r="Q65" s="150">
        <f t="shared" si="14"/>
        <v>0</v>
      </c>
      <c r="R65" s="186">
        <f t="shared" si="15"/>
        <v>0</v>
      </c>
    </row>
    <row r="66" spans="2:18" x14ac:dyDescent="0.35">
      <c r="B66" s="25">
        <v>2019</v>
      </c>
      <c r="C66" s="78">
        <v>12</v>
      </c>
      <c r="D66" s="135">
        <v>0</v>
      </c>
      <c r="E66" s="114">
        <v>0</v>
      </c>
      <c r="F66" s="136">
        <v>0</v>
      </c>
      <c r="G66" s="147">
        <f>INDEX(S1_BaseRefNGNoHydro!C$29:C$44,MATCH($B66,S1_BaseRefNGNoHydro!$B$8:$B$23,0))*INDEX(RefTables!$D$238:$D$249,$C66)*10^6</f>
        <v>40404832.441949695</v>
      </c>
      <c r="H66" s="34">
        <f>Inputs_AnnualElectric!D93</f>
        <v>10180800</v>
      </c>
      <c r="I66" s="34">
        <f>-INDEX(Inputs_SupplyCurve!$AA$9:$AA$24,MATCH($B66,Inputs_SupplyCurve!$S$9:$S$24,0))*INDEX(RefTables!$D$238:$D$249,$C66)</f>
        <v>-3438433.7403410692</v>
      </c>
      <c r="J66" s="34">
        <f t="shared" si="9"/>
        <v>47147198.701608628</v>
      </c>
      <c r="K66" s="149">
        <f t="shared" si="10"/>
        <v>0</v>
      </c>
      <c r="L66" s="150">
        <f t="shared" si="11"/>
        <v>0</v>
      </c>
      <c r="M66" s="150">
        <f t="shared" si="12"/>
        <v>0</v>
      </c>
      <c r="N66" s="150">
        <f t="shared" si="16"/>
        <v>0</v>
      </c>
      <c r="O66" s="150">
        <f t="shared" si="16"/>
        <v>0</v>
      </c>
      <c r="P66" s="150">
        <f t="shared" si="13"/>
        <v>0</v>
      </c>
      <c r="Q66" s="150">
        <f t="shared" si="14"/>
        <v>0</v>
      </c>
      <c r="R66" s="186">
        <f t="shared" si="15"/>
        <v>0</v>
      </c>
    </row>
    <row r="67" spans="2:18" x14ac:dyDescent="0.35">
      <c r="B67" s="25">
        <v>2020</v>
      </c>
      <c r="C67" s="78">
        <v>1</v>
      </c>
      <c r="D67" s="135">
        <v>-19.735024726445936</v>
      </c>
      <c r="E67" s="114">
        <v>-19.735024726445932</v>
      </c>
      <c r="F67" s="136">
        <v>-19.735024726445928</v>
      </c>
      <c r="G67" s="147">
        <f>INDEX(S1_BaseRefNGNoHydro!C$29:C$44,MATCH($B67,S1_BaseRefNGNoHydro!$B$8:$B$23,0))*INDEX(RefTables!$D$238:$D$249,$C67)*10^6</f>
        <v>46927732.124622554</v>
      </c>
      <c r="H67" s="34">
        <f>Inputs_AnnualElectric!D94</f>
        <v>23993940</v>
      </c>
      <c r="I67" s="34">
        <f>-INDEX(Inputs_SupplyCurve!$AA$9:$AA$24,MATCH($B67,Inputs_SupplyCurve!$S$9:$S$24,0))*INDEX(RefTables!$D$238:$D$249,$C67)</f>
        <v>-4313516.8910780046</v>
      </c>
      <c r="J67" s="34">
        <f t="shared" si="9"/>
        <v>66608155.233544551</v>
      </c>
      <c r="K67" s="149">
        <f t="shared" si="10"/>
        <v>-1314.5135905169504</v>
      </c>
      <c r="L67" s="150">
        <f t="shared" si="11"/>
        <v>-1314.5135905169509</v>
      </c>
      <c r="M67" s="150">
        <f t="shared" si="12"/>
        <v>-1314.5135905169502</v>
      </c>
      <c r="N67" s="150">
        <f t="shared" ref="N67:O86" si="17">$J67*$E67*10^-6</f>
        <v>-1314.5135905169504</v>
      </c>
      <c r="O67" s="150">
        <f t="shared" si="17"/>
        <v>-1314.5135905169504</v>
      </c>
      <c r="P67" s="150">
        <f t="shared" si="13"/>
        <v>-1314.5135905169509</v>
      </c>
      <c r="Q67" s="150">
        <f t="shared" si="14"/>
        <v>-1314.5135905169502</v>
      </c>
      <c r="R67" s="186">
        <f t="shared" si="15"/>
        <v>-1314.5135905169504</v>
      </c>
    </row>
    <row r="68" spans="2:18" x14ac:dyDescent="0.35">
      <c r="B68" s="25">
        <v>2020</v>
      </c>
      <c r="C68" s="78">
        <v>2</v>
      </c>
      <c r="D68" s="135">
        <v>-15.072781658751662</v>
      </c>
      <c r="E68" s="114">
        <v>-15.072781658751666</v>
      </c>
      <c r="F68" s="136">
        <v>-15.07278165875166</v>
      </c>
      <c r="G68" s="147">
        <f>INDEX(S1_BaseRefNGNoHydro!C$29:C$44,MATCH($B68,S1_BaseRefNGNoHydro!$B$8:$B$23,0))*INDEX(RefTables!$D$238:$D$249,$C68)*10^6</f>
        <v>40758913.942983456</v>
      </c>
      <c r="H68" s="34">
        <f>Inputs_AnnualElectric!D95</f>
        <v>21823620</v>
      </c>
      <c r="I68" s="34">
        <f>-INDEX(Inputs_SupplyCurve!$AA$9:$AA$24,MATCH($B68,Inputs_SupplyCurve!$S$9:$S$24,0))*INDEX(RefTables!$D$238:$D$249,$C68)</f>
        <v>-3746489.6724213478</v>
      </c>
      <c r="J68" s="34">
        <f t="shared" si="9"/>
        <v>58836044.270562105</v>
      </c>
      <c r="K68" s="149">
        <f t="shared" si="10"/>
        <v>-886.82284895482951</v>
      </c>
      <c r="L68" s="150">
        <f t="shared" si="11"/>
        <v>-886.82284895482928</v>
      </c>
      <c r="M68" s="150">
        <f t="shared" si="12"/>
        <v>-886.82284895482917</v>
      </c>
      <c r="N68" s="150">
        <f t="shared" si="17"/>
        <v>-886.82284895482951</v>
      </c>
      <c r="O68" s="150">
        <f t="shared" si="17"/>
        <v>-886.82284895482951</v>
      </c>
      <c r="P68" s="150">
        <f t="shared" si="13"/>
        <v>-886.82284895482928</v>
      </c>
      <c r="Q68" s="150">
        <f t="shared" si="14"/>
        <v>-886.82284895482917</v>
      </c>
      <c r="R68" s="186">
        <f t="shared" si="15"/>
        <v>-886.82284895482951</v>
      </c>
    </row>
    <row r="69" spans="2:18" x14ac:dyDescent="0.35">
      <c r="B69" s="25">
        <v>2020</v>
      </c>
      <c r="C69" s="78">
        <v>3</v>
      </c>
      <c r="D69" s="135">
        <v>-10.900927952252371</v>
      </c>
      <c r="E69" s="114">
        <v>-10.900927952252387</v>
      </c>
      <c r="F69" s="136">
        <v>-10.900927952252381</v>
      </c>
      <c r="G69" s="147">
        <f>INDEX(S1_BaseRefNGNoHydro!C$29:C$44,MATCH($B69,S1_BaseRefNGNoHydro!$B$8:$B$23,0))*INDEX(RefTables!$D$238:$D$249,$C69)*10^6</f>
        <v>36505369.913629726</v>
      </c>
      <c r="H69" s="34">
        <f>Inputs_AnnualElectric!D96</f>
        <v>20124800</v>
      </c>
      <c r="I69" s="34">
        <f>-INDEX(Inputs_SupplyCurve!$AA$9:$AA$24,MATCH($B69,Inputs_SupplyCurve!$S$9:$S$24,0))*INDEX(RefTables!$D$238:$D$249,$C69)</f>
        <v>-3355511.1787486398</v>
      </c>
      <c r="J69" s="34">
        <f t="shared" si="9"/>
        <v>53274658.734881088</v>
      </c>
      <c r="K69" s="149">
        <f t="shared" si="10"/>
        <v>-580.743216549772</v>
      </c>
      <c r="L69" s="150">
        <f t="shared" si="11"/>
        <v>-580.7432165497712</v>
      </c>
      <c r="M69" s="150">
        <f t="shared" si="12"/>
        <v>-580.74321654977177</v>
      </c>
      <c r="N69" s="150">
        <f t="shared" si="17"/>
        <v>-580.743216549772</v>
      </c>
      <c r="O69" s="150">
        <f t="shared" si="17"/>
        <v>-580.743216549772</v>
      </c>
      <c r="P69" s="150">
        <f t="shared" si="13"/>
        <v>-580.7432165497712</v>
      </c>
      <c r="Q69" s="150">
        <f t="shared" si="14"/>
        <v>-580.74321654977177</v>
      </c>
      <c r="R69" s="186">
        <f t="shared" si="15"/>
        <v>-580.743216549772</v>
      </c>
    </row>
    <row r="70" spans="2:18" x14ac:dyDescent="0.35">
      <c r="B70" s="25">
        <v>2020</v>
      </c>
      <c r="C70" s="78">
        <v>4</v>
      </c>
      <c r="D70" s="135">
        <v>0</v>
      </c>
      <c r="E70" s="114">
        <v>0</v>
      </c>
      <c r="F70" s="136">
        <v>0</v>
      </c>
      <c r="G70" s="147">
        <f>INDEX(S1_BaseRefNGNoHydro!C$29:C$44,MATCH($B70,S1_BaseRefNGNoHydro!$B$8:$B$23,0))*INDEX(RefTables!$D$238:$D$249,$C70)*10^6</f>
        <v>23686741.390079137</v>
      </c>
      <c r="H70" s="34">
        <f>Inputs_AnnualElectric!D97</f>
        <v>19245730</v>
      </c>
      <c r="I70" s="34">
        <f>-INDEX(Inputs_SupplyCurve!$AA$9:$AA$24,MATCH($B70,Inputs_SupplyCurve!$S$9:$S$24,0))*INDEX(RefTables!$D$238:$D$249,$C70)</f>
        <v>-2177244.764553485</v>
      </c>
      <c r="J70" s="34">
        <f t="shared" si="9"/>
        <v>40755226.625525653</v>
      </c>
      <c r="K70" s="149">
        <f t="shared" si="10"/>
        <v>0</v>
      </c>
      <c r="L70" s="150">
        <f t="shared" si="11"/>
        <v>0</v>
      </c>
      <c r="M70" s="150">
        <f t="shared" si="12"/>
        <v>0</v>
      </c>
      <c r="N70" s="150">
        <f t="shared" si="17"/>
        <v>0</v>
      </c>
      <c r="O70" s="150">
        <f t="shared" si="17"/>
        <v>0</v>
      </c>
      <c r="P70" s="150">
        <f t="shared" si="13"/>
        <v>0</v>
      </c>
      <c r="Q70" s="150">
        <f t="shared" si="14"/>
        <v>0</v>
      </c>
      <c r="R70" s="186">
        <f t="shared" si="15"/>
        <v>0</v>
      </c>
    </row>
    <row r="71" spans="2:18" x14ac:dyDescent="0.35">
      <c r="B71" s="25">
        <v>2020</v>
      </c>
      <c r="C71" s="78">
        <v>5</v>
      </c>
      <c r="D71" s="135">
        <v>0</v>
      </c>
      <c r="E71" s="114">
        <v>0</v>
      </c>
      <c r="F71" s="136">
        <v>0</v>
      </c>
      <c r="G71" s="147">
        <f>INDEX(S1_BaseRefNGNoHydro!C$29:C$44,MATCH($B71,S1_BaseRefNGNoHydro!$B$8:$B$23,0))*INDEX(RefTables!$D$238:$D$249,$C71)*10^6</f>
        <v>14107674.497081818</v>
      </c>
      <c r="H71" s="34">
        <f>Inputs_AnnualElectric!D98</f>
        <v>16764810</v>
      </c>
      <c r="I71" s="34">
        <f>-INDEX(Inputs_SupplyCurve!$AA$9:$AA$24,MATCH($B71,Inputs_SupplyCurve!$S$9:$S$24,0))*INDEX(RefTables!$D$238:$D$249,$C71)</f>
        <v>-1296753.3158301387</v>
      </c>
      <c r="J71" s="34">
        <f t="shared" ref="J71:J102" si="18">SUM(G71:I71)</f>
        <v>29575731.181251679</v>
      </c>
      <c r="K71" s="149">
        <f t="shared" ref="K71:K102" si="19">$J71*$E71*10^-6</f>
        <v>0</v>
      </c>
      <c r="L71" s="150">
        <f t="shared" ref="L71:L102" si="20">$J71*$D71*10^-6</f>
        <v>0</v>
      </c>
      <c r="M71" s="150">
        <f t="shared" ref="M71:M102" si="21">$J71*$F71*10^-6</f>
        <v>0</v>
      </c>
      <c r="N71" s="150">
        <f t="shared" si="17"/>
        <v>0</v>
      </c>
      <c r="O71" s="150">
        <f t="shared" si="17"/>
        <v>0</v>
      </c>
      <c r="P71" s="150">
        <f t="shared" ref="P71:P102" si="22">$J71*$D71*10^-6</f>
        <v>0</v>
      </c>
      <c r="Q71" s="150">
        <f t="shared" ref="Q71:Q102" si="23">$J71*$F71*10^-6</f>
        <v>0</v>
      </c>
      <c r="R71" s="186">
        <f t="shared" ref="R71:R102" si="24">$J71*$E71*10^-6</f>
        <v>0</v>
      </c>
    </row>
    <row r="72" spans="2:18" x14ac:dyDescent="0.35">
      <c r="B72" s="25">
        <v>2020</v>
      </c>
      <c r="C72" s="78">
        <v>6</v>
      </c>
      <c r="D72" s="135">
        <v>0</v>
      </c>
      <c r="E72" s="114">
        <v>0</v>
      </c>
      <c r="F72" s="136">
        <v>0</v>
      </c>
      <c r="G72" s="147">
        <f>INDEX(S1_BaseRefNGNoHydro!C$29:C$44,MATCH($B72,S1_BaseRefNGNoHydro!$B$8:$B$23,0))*INDEX(RefTables!$D$238:$D$249,$C72)*10^6</f>
        <v>9016784.9408776462</v>
      </c>
      <c r="H72" s="34">
        <f>Inputs_AnnualElectric!D99</f>
        <v>19069680</v>
      </c>
      <c r="I72" s="34">
        <f>-INDEX(Inputs_SupplyCurve!$AA$9:$AA$24,MATCH($B72,Inputs_SupplyCurve!$S$9:$S$24,0))*INDEX(RefTables!$D$238:$D$249,$C72)</f>
        <v>-828807.45317939948</v>
      </c>
      <c r="J72" s="34">
        <f t="shared" si="18"/>
        <v>27257657.487698246</v>
      </c>
      <c r="K72" s="149">
        <f t="shared" si="19"/>
        <v>0</v>
      </c>
      <c r="L72" s="150">
        <f t="shared" si="20"/>
        <v>0</v>
      </c>
      <c r="M72" s="150">
        <f t="shared" si="21"/>
        <v>0</v>
      </c>
      <c r="N72" s="150">
        <f t="shared" si="17"/>
        <v>0</v>
      </c>
      <c r="O72" s="150">
        <f t="shared" si="17"/>
        <v>0</v>
      </c>
      <c r="P72" s="150">
        <f t="shared" si="22"/>
        <v>0</v>
      </c>
      <c r="Q72" s="150">
        <f t="shared" si="23"/>
        <v>0</v>
      </c>
      <c r="R72" s="186">
        <f t="shared" si="24"/>
        <v>0</v>
      </c>
    </row>
    <row r="73" spans="2:18" x14ac:dyDescent="0.35">
      <c r="B73" s="25">
        <v>2020</v>
      </c>
      <c r="C73" s="78">
        <v>7</v>
      </c>
      <c r="D73" s="135">
        <v>0</v>
      </c>
      <c r="E73" s="114">
        <v>0</v>
      </c>
      <c r="F73" s="136">
        <v>0</v>
      </c>
      <c r="G73" s="147">
        <f>INDEX(S1_BaseRefNGNoHydro!C$29:C$44,MATCH($B73,S1_BaseRefNGNoHydro!$B$8:$B$23,0))*INDEX(RefTables!$D$238:$D$249,$C73)*10^6</f>
        <v>7579005.5753127243</v>
      </c>
      <c r="H73" s="34">
        <f>Inputs_AnnualElectric!D100</f>
        <v>25937080</v>
      </c>
      <c r="I73" s="34">
        <f>-INDEX(Inputs_SupplyCurve!$AA$9:$AA$24,MATCH($B73,Inputs_SupplyCurve!$S$9:$S$24,0))*INDEX(RefTables!$D$238:$D$249,$C73)</f>
        <v>-696649.23248086218</v>
      </c>
      <c r="J73" s="34">
        <f t="shared" si="18"/>
        <v>32819436.342831865</v>
      </c>
      <c r="K73" s="149">
        <f t="shared" si="19"/>
        <v>0</v>
      </c>
      <c r="L73" s="150">
        <f t="shared" si="20"/>
        <v>0</v>
      </c>
      <c r="M73" s="150">
        <f t="shared" si="21"/>
        <v>0</v>
      </c>
      <c r="N73" s="150">
        <f t="shared" si="17"/>
        <v>0</v>
      </c>
      <c r="O73" s="150">
        <f t="shared" si="17"/>
        <v>0</v>
      </c>
      <c r="P73" s="150">
        <f t="shared" si="22"/>
        <v>0</v>
      </c>
      <c r="Q73" s="150">
        <f t="shared" si="23"/>
        <v>0</v>
      </c>
      <c r="R73" s="186">
        <f t="shared" si="24"/>
        <v>0</v>
      </c>
    </row>
    <row r="74" spans="2:18" x14ac:dyDescent="0.35">
      <c r="B74" s="25">
        <v>2020</v>
      </c>
      <c r="C74" s="78">
        <v>8</v>
      </c>
      <c r="D74" s="135">
        <v>0</v>
      </c>
      <c r="E74" s="114">
        <v>0</v>
      </c>
      <c r="F74" s="136">
        <v>0</v>
      </c>
      <c r="G74" s="147">
        <f>INDEX(S1_BaseRefNGNoHydro!C$29:C$44,MATCH($B74,S1_BaseRefNGNoHydro!$B$8:$B$23,0))*INDEX(RefTables!$D$238:$D$249,$C74)*10^6</f>
        <v>7731198.2246592464</v>
      </c>
      <c r="H74" s="34">
        <f>Inputs_AnnualElectric!D101</f>
        <v>25045660</v>
      </c>
      <c r="I74" s="34">
        <f>-INDEX(Inputs_SupplyCurve!$AA$9:$AA$24,MATCH($B74,Inputs_SupplyCurve!$S$9:$S$24,0))*INDEX(RefTables!$D$238:$D$249,$C74)</f>
        <v>-710638.52056132513</v>
      </c>
      <c r="J74" s="34">
        <f t="shared" si="18"/>
        <v>32066219.704097919</v>
      </c>
      <c r="K74" s="149">
        <f t="shared" si="19"/>
        <v>0</v>
      </c>
      <c r="L74" s="150">
        <f t="shared" si="20"/>
        <v>0</v>
      </c>
      <c r="M74" s="150">
        <f t="shared" si="21"/>
        <v>0</v>
      </c>
      <c r="N74" s="150">
        <f t="shared" si="17"/>
        <v>0</v>
      </c>
      <c r="O74" s="150">
        <f t="shared" si="17"/>
        <v>0</v>
      </c>
      <c r="P74" s="150">
        <f t="shared" si="22"/>
        <v>0</v>
      </c>
      <c r="Q74" s="150">
        <f t="shared" si="23"/>
        <v>0</v>
      </c>
      <c r="R74" s="186">
        <f t="shared" si="24"/>
        <v>0</v>
      </c>
    </row>
    <row r="75" spans="2:18" x14ac:dyDescent="0.35">
      <c r="B75" s="25">
        <v>2020</v>
      </c>
      <c r="C75" s="78">
        <v>9</v>
      </c>
      <c r="D75" s="135">
        <v>0</v>
      </c>
      <c r="E75" s="114">
        <v>0</v>
      </c>
      <c r="F75" s="136">
        <v>0</v>
      </c>
      <c r="G75" s="147">
        <f>INDEX(S1_BaseRefNGNoHydro!C$29:C$44,MATCH($B75,S1_BaseRefNGNoHydro!$B$8:$B$23,0))*INDEX(RefTables!$D$238:$D$249,$C75)*10^6</f>
        <v>9288039.0293929745</v>
      </c>
      <c r="H75" s="34">
        <f>Inputs_AnnualElectric!D102</f>
        <v>18784700</v>
      </c>
      <c r="I75" s="34">
        <f>-INDEX(Inputs_SupplyCurve!$AA$9:$AA$24,MATCH($B75,Inputs_SupplyCurve!$S$9:$S$24,0))*INDEX(RefTables!$D$238:$D$249,$C75)</f>
        <v>-853740.66515473218</v>
      </c>
      <c r="J75" s="34">
        <f t="shared" si="18"/>
        <v>27218998.36423824</v>
      </c>
      <c r="K75" s="149">
        <f t="shared" si="19"/>
        <v>0</v>
      </c>
      <c r="L75" s="150">
        <f t="shared" si="20"/>
        <v>0</v>
      </c>
      <c r="M75" s="150">
        <f t="shared" si="21"/>
        <v>0</v>
      </c>
      <c r="N75" s="150">
        <f t="shared" si="17"/>
        <v>0</v>
      </c>
      <c r="O75" s="150">
        <f t="shared" si="17"/>
        <v>0</v>
      </c>
      <c r="P75" s="150">
        <f t="shared" si="22"/>
        <v>0</v>
      </c>
      <c r="Q75" s="150">
        <f t="shared" si="23"/>
        <v>0</v>
      </c>
      <c r="R75" s="186">
        <f t="shared" si="24"/>
        <v>0</v>
      </c>
    </row>
    <row r="76" spans="2:18" x14ac:dyDescent="0.35">
      <c r="B76" s="25">
        <v>2020</v>
      </c>
      <c r="C76" s="78">
        <v>10</v>
      </c>
      <c r="D76" s="135">
        <v>0</v>
      </c>
      <c r="E76" s="114">
        <v>0</v>
      </c>
      <c r="F76" s="136">
        <v>0</v>
      </c>
      <c r="G76" s="147">
        <f>INDEX(S1_BaseRefNGNoHydro!C$29:C$44,MATCH($B76,S1_BaseRefNGNoHydro!$B$8:$B$23,0))*INDEX(RefTables!$D$238:$D$249,$C76)*10^6</f>
        <v>16487206.598862173</v>
      </c>
      <c r="H76" s="34">
        <f>Inputs_AnnualElectric!D103</f>
        <v>22209120</v>
      </c>
      <c r="I76" s="34">
        <f>-INDEX(Inputs_SupplyCurve!$AA$9:$AA$24,MATCH($B76,Inputs_SupplyCurve!$S$9:$S$24,0))*INDEX(RefTables!$D$238:$D$249,$C76)</f>
        <v>-1515475.8376565536</v>
      </c>
      <c r="J76" s="34">
        <f t="shared" si="18"/>
        <v>37180850.761205621</v>
      </c>
      <c r="K76" s="149">
        <f t="shared" si="19"/>
        <v>0</v>
      </c>
      <c r="L76" s="150">
        <f t="shared" si="20"/>
        <v>0</v>
      </c>
      <c r="M76" s="150">
        <f t="shared" si="21"/>
        <v>0</v>
      </c>
      <c r="N76" s="150">
        <f t="shared" si="17"/>
        <v>0</v>
      </c>
      <c r="O76" s="150">
        <f t="shared" si="17"/>
        <v>0</v>
      </c>
      <c r="P76" s="150">
        <f t="shared" si="22"/>
        <v>0</v>
      </c>
      <c r="Q76" s="150">
        <f t="shared" si="23"/>
        <v>0</v>
      </c>
      <c r="R76" s="186">
        <f t="shared" si="24"/>
        <v>0</v>
      </c>
    </row>
    <row r="77" spans="2:18" x14ac:dyDescent="0.35">
      <c r="B77" s="25">
        <v>2020</v>
      </c>
      <c r="C77" s="78">
        <v>11</v>
      </c>
      <c r="D77" s="135">
        <v>-3.2988634361233506</v>
      </c>
      <c r="E77" s="114">
        <v>-3.2988634361233466</v>
      </c>
      <c r="F77" s="136">
        <v>-3.2988634361233489</v>
      </c>
      <c r="G77" s="147">
        <f>INDEX(S1_BaseRefNGNoHydro!C$29:C$44,MATCH($B77,S1_BaseRefNGNoHydro!$B$8:$B$23,0))*INDEX(RefTables!$D$238:$D$249,$C77)*10^6</f>
        <v>26204417.866780896</v>
      </c>
      <c r="H77" s="34">
        <f>Inputs_AnnualElectric!D104</f>
        <v>20908780</v>
      </c>
      <c r="I77" s="34">
        <f>-INDEX(Inputs_SupplyCurve!$AA$9:$AA$24,MATCH($B77,Inputs_SupplyCurve!$S$9:$S$24,0))*INDEX(RefTables!$D$238:$D$249,$C77)</f>
        <v>-2408665.2810975742</v>
      </c>
      <c r="J77" s="34">
        <f t="shared" si="18"/>
        <v>44704532.585683316</v>
      </c>
      <c r="K77" s="149">
        <f t="shared" si="19"/>
        <v>-147.47414797589536</v>
      </c>
      <c r="L77" s="150">
        <f t="shared" si="20"/>
        <v>-147.47414797589553</v>
      </c>
      <c r="M77" s="150">
        <f t="shared" si="21"/>
        <v>-147.47414797589548</v>
      </c>
      <c r="N77" s="150">
        <f t="shared" si="17"/>
        <v>-147.47414797589536</v>
      </c>
      <c r="O77" s="150">
        <f t="shared" si="17"/>
        <v>-147.47414797589536</v>
      </c>
      <c r="P77" s="150">
        <f t="shared" si="22"/>
        <v>-147.47414797589553</v>
      </c>
      <c r="Q77" s="150">
        <f t="shared" si="23"/>
        <v>-147.47414797589548</v>
      </c>
      <c r="R77" s="186">
        <f t="shared" si="24"/>
        <v>-147.47414797589536</v>
      </c>
    </row>
    <row r="78" spans="2:18" x14ac:dyDescent="0.35">
      <c r="B78" s="25">
        <v>2020</v>
      </c>
      <c r="C78" s="78">
        <v>12</v>
      </c>
      <c r="D78" s="135">
        <v>-9.3517344038652812</v>
      </c>
      <c r="E78" s="114">
        <v>-9.3517344038652936</v>
      </c>
      <c r="F78" s="136">
        <v>-9.351734403865283</v>
      </c>
      <c r="G78" s="147">
        <f>INDEX(S1_BaseRefNGNoHydro!C$29:C$44,MATCH($B78,S1_BaseRefNGNoHydro!$B$8:$B$23,0))*INDEX(RefTables!$D$238:$D$249,$C78)*10^6</f>
        <v>40602623.999787346</v>
      </c>
      <c r="H78" s="34">
        <f>Inputs_AnnualElectric!D105</f>
        <v>21875950</v>
      </c>
      <c r="I78" s="34">
        <f>-INDEX(Inputs_SupplyCurve!$AA$9:$AA$24,MATCH($B78,Inputs_SupplyCurve!$S$9:$S$24,0))*INDEX(RefTables!$D$238:$D$249,$C78)</f>
        <v>-3732123.7680965513</v>
      </c>
      <c r="J78" s="34">
        <f t="shared" si="18"/>
        <v>58746450.231690794</v>
      </c>
      <c r="K78" s="149">
        <f t="shared" si="19"/>
        <v>-549.38119973666312</v>
      </c>
      <c r="L78" s="150">
        <f t="shared" si="20"/>
        <v>-549.38119973666221</v>
      </c>
      <c r="M78" s="150">
        <f t="shared" si="21"/>
        <v>-549.38119973666232</v>
      </c>
      <c r="N78" s="150">
        <f t="shared" si="17"/>
        <v>-549.38119973666312</v>
      </c>
      <c r="O78" s="150">
        <f t="shared" si="17"/>
        <v>-549.38119973666312</v>
      </c>
      <c r="P78" s="150">
        <f t="shared" si="22"/>
        <v>-549.38119973666221</v>
      </c>
      <c r="Q78" s="150">
        <f t="shared" si="23"/>
        <v>-549.38119973666232</v>
      </c>
      <c r="R78" s="186">
        <f t="shared" si="24"/>
        <v>-549.38119973666312</v>
      </c>
    </row>
    <row r="79" spans="2:18" x14ac:dyDescent="0.35">
      <c r="B79" s="25">
        <v>2021</v>
      </c>
      <c r="C79" s="78">
        <v>1</v>
      </c>
      <c r="D79" s="135">
        <v>-19.735024726445932</v>
      </c>
      <c r="E79" s="114">
        <v>-19.735024726445925</v>
      </c>
      <c r="F79" s="136">
        <v>-19.735024726445928</v>
      </c>
      <c r="G79" s="147">
        <f>INDEX(S1_BaseRefNGNoHydro!C$29:C$44,MATCH($B79,S1_BaseRefNGNoHydro!$B$8:$B$23,0))*INDEX(RefTables!$D$238:$D$249,$C79)*10^6</f>
        <v>47157478.822495595</v>
      </c>
      <c r="H79" s="34">
        <f>Inputs_AnnualElectric!D106</f>
        <v>24477160</v>
      </c>
      <c r="I79" s="34">
        <f>-INDEX(Inputs_SupplyCurve!$AA$9:$AA$24,MATCH($B79,Inputs_SupplyCurve!$S$9:$S$24,0))*INDEX(RefTables!$D$238:$D$249,$C79)</f>
        <v>-4552007.4618078033</v>
      </c>
      <c r="J79" s="34">
        <f t="shared" si="18"/>
        <v>67082631.360687792</v>
      </c>
      <c r="K79" s="149">
        <f t="shared" si="19"/>
        <v>-1323.8773886182303</v>
      </c>
      <c r="L79" s="150">
        <f t="shared" si="20"/>
        <v>-1323.8773886182307</v>
      </c>
      <c r="M79" s="150">
        <f t="shared" si="21"/>
        <v>-1323.8773886182305</v>
      </c>
      <c r="N79" s="150">
        <f t="shared" si="17"/>
        <v>-1323.8773886182303</v>
      </c>
      <c r="O79" s="150">
        <f t="shared" si="17"/>
        <v>-1323.8773886182303</v>
      </c>
      <c r="P79" s="150">
        <f t="shared" si="22"/>
        <v>-1323.8773886182307</v>
      </c>
      <c r="Q79" s="150">
        <f t="shared" si="23"/>
        <v>-1323.8773886182305</v>
      </c>
      <c r="R79" s="186">
        <f t="shared" si="24"/>
        <v>-1323.8773886182303</v>
      </c>
    </row>
    <row r="80" spans="2:18" x14ac:dyDescent="0.35">
      <c r="B80" s="25">
        <v>2021</v>
      </c>
      <c r="C80" s="78">
        <v>2</v>
      </c>
      <c r="D80" s="135">
        <v>-14.661720578980489</v>
      </c>
      <c r="E80" s="114">
        <v>-14.661720578980493</v>
      </c>
      <c r="F80" s="136">
        <v>-14.661720578980489</v>
      </c>
      <c r="G80" s="147">
        <f>INDEX(S1_BaseRefNGNoHydro!C$29:C$44,MATCH($B80,S1_BaseRefNGNoHydro!$B$8:$B$23,0))*INDEX(RefTables!$D$238:$D$249,$C80)*10^6</f>
        <v>40958459.615943395</v>
      </c>
      <c r="H80" s="34">
        <f>Inputs_AnnualElectric!D107</f>
        <v>19258750</v>
      </c>
      <c r="I80" s="34">
        <f>-INDEX(Inputs_SupplyCurve!$AA$9:$AA$24,MATCH($B80,Inputs_SupplyCurve!$S$9:$S$24,0))*INDEX(RefTables!$D$238:$D$249,$C80)</f>
        <v>-3953629.8048866149</v>
      </c>
      <c r="J80" s="34">
        <f t="shared" si="18"/>
        <v>56263579.811056778</v>
      </c>
      <c r="K80" s="149">
        <f t="shared" si="19"/>
        <v>-824.92088596288249</v>
      </c>
      <c r="L80" s="150">
        <f t="shared" si="20"/>
        <v>-824.92088596288238</v>
      </c>
      <c r="M80" s="150">
        <f t="shared" si="21"/>
        <v>-824.92088596288238</v>
      </c>
      <c r="N80" s="150">
        <f t="shared" si="17"/>
        <v>-824.92088596288249</v>
      </c>
      <c r="O80" s="150">
        <f t="shared" si="17"/>
        <v>-824.92088596288249</v>
      </c>
      <c r="P80" s="150">
        <f t="shared" si="22"/>
        <v>-824.92088596288238</v>
      </c>
      <c r="Q80" s="150">
        <f t="shared" si="23"/>
        <v>-824.92088596288238</v>
      </c>
      <c r="R80" s="186">
        <f t="shared" si="24"/>
        <v>-824.92088596288249</v>
      </c>
    </row>
    <row r="81" spans="2:18" x14ac:dyDescent="0.35">
      <c r="B81" s="25">
        <v>2021</v>
      </c>
      <c r="C81" s="78">
        <v>3</v>
      </c>
      <c r="D81" s="135">
        <v>-10.900927952252374</v>
      </c>
      <c r="E81" s="114">
        <v>-10.900927952252383</v>
      </c>
      <c r="F81" s="136">
        <v>-10.900927952252374</v>
      </c>
      <c r="G81" s="147">
        <f>INDEX(S1_BaseRefNGNoHydro!C$29:C$44,MATCH($B81,S1_BaseRefNGNoHydro!$B$8:$B$23,0))*INDEX(RefTables!$D$238:$D$249,$C81)*10^6</f>
        <v>36684091.275446601</v>
      </c>
      <c r="H81" s="34">
        <f>Inputs_AnnualElectric!D108</f>
        <v>20908230</v>
      </c>
      <c r="I81" s="34">
        <f>-INDEX(Inputs_SupplyCurve!$AA$9:$AA$24,MATCH($B81,Inputs_SupplyCurve!$S$9:$S$24,0))*INDEX(RefTables!$D$238:$D$249,$C81)</f>
        <v>-3541034.4527539462</v>
      </c>
      <c r="J81" s="34">
        <f t="shared" si="18"/>
        <v>54051286.822692655</v>
      </c>
      <c r="K81" s="149">
        <f t="shared" si="19"/>
        <v>-589.20918338070123</v>
      </c>
      <c r="L81" s="150">
        <f t="shared" si="20"/>
        <v>-589.20918338070078</v>
      </c>
      <c r="M81" s="150">
        <f t="shared" si="21"/>
        <v>-589.20918338070078</v>
      </c>
      <c r="N81" s="150">
        <f t="shared" si="17"/>
        <v>-589.20918338070123</v>
      </c>
      <c r="O81" s="150">
        <f t="shared" si="17"/>
        <v>-589.20918338070123</v>
      </c>
      <c r="P81" s="150">
        <f t="shared" si="22"/>
        <v>-589.20918338070078</v>
      </c>
      <c r="Q81" s="150">
        <f t="shared" si="23"/>
        <v>-589.20918338070078</v>
      </c>
      <c r="R81" s="186">
        <f t="shared" si="24"/>
        <v>-589.20918338070123</v>
      </c>
    </row>
    <row r="82" spans="2:18" x14ac:dyDescent="0.35">
      <c r="B82" s="25">
        <v>2021</v>
      </c>
      <c r="C82" s="78">
        <v>4</v>
      </c>
      <c r="D82" s="135">
        <v>0</v>
      </c>
      <c r="E82" s="114">
        <v>0</v>
      </c>
      <c r="F82" s="136">
        <v>0</v>
      </c>
      <c r="G82" s="147">
        <f>INDEX(S1_BaseRefNGNoHydro!C$29:C$44,MATCH($B82,S1_BaseRefNGNoHydro!$B$8:$B$23,0))*INDEX(RefTables!$D$238:$D$249,$C82)*10^6</f>
        <v>23802705.882104695</v>
      </c>
      <c r="H82" s="34">
        <f>Inputs_AnnualElectric!D109</f>
        <v>16172360</v>
      </c>
      <c r="I82" s="34">
        <f>-INDEX(Inputs_SupplyCurve!$AA$9:$AA$24,MATCH($B82,Inputs_SupplyCurve!$S$9:$S$24,0))*INDEX(RefTables!$D$238:$D$249,$C82)</f>
        <v>-2297622.720552878</v>
      </c>
      <c r="J82" s="34">
        <f t="shared" si="18"/>
        <v>37677443.161551818</v>
      </c>
      <c r="K82" s="149">
        <f t="shared" si="19"/>
        <v>0</v>
      </c>
      <c r="L82" s="150">
        <f t="shared" si="20"/>
        <v>0</v>
      </c>
      <c r="M82" s="150">
        <f t="shared" si="21"/>
        <v>0</v>
      </c>
      <c r="N82" s="150">
        <f t="shared" si="17"/>
        <v>0</v>
      </c>
      <c r="O82" s="150">
        <f t="shared" si="17"/>
        <v>0</v>
      </c>
      <c r="P82" s="150">
        <f t="shared" si="22"/>
        <v>0</v>
      </c>
      <c r="Q82" s="150">
        <f t="shared" si="23"/>
        <v>0</v>
      </c>
      <c r="R82" s="186">
        <f t="shared" si="24"/>
        <v>0</v>
      </c>
    </row>
    <row r="83" spans="2:18" x14ac:dyDescent="0.35">
      <c r="B83" s="25">
        <v>2021</v>
      </c>
      <c r="C83" s="78">
        <v>5</v>
      </c>
      <c r="D83" s="135">
        <v>0</v>
      </c>
      <c r="E83" s="114">
        <v>0</v>
      </c>
      <c r="F83" s="136">
        <v>0</v>
      </c>
      <c r="G83" s="147">
        <f>INDEX(S1_BaseRefNGNoHydro!C$29:C$44,MATCH($B83,S1_BaseRefNGNoHydro!$B$8:$B$23,0))*INDEX(RefTables!$D$238:$D$249,$C83)*10^6</f>
        <v>14176742.220656544</v>
      </c>
      <c r="H83" s="34">
        <f>Inputs_AnnualElectric!D110</f>
        <v>17635950</v>
      </c>
      <c r="I83" s="34">
        <f>-INDEX(Inputs_SupplyCurve!$AA$9:$AA$24,MATCH($B83,Inputs_SupplyCurve!$S$9:$S$24,0))*INDEX(RefTables!$D$238:$D$249,$C83)</f>
        <v>-1368449.6708456397</v>
      </c>
      <c r="J83" s="34">
        <f t="shared" si="18"/>
        <v>30444242.549810905</v>
      </c>
      <c r="K83" s="149">
        <f t="shared" si="19"/>
        <v>0</v>
      </c>
      <c r="L83" s="150">
        <f t="shared" si="20"/>
        <v>0</v>
      </c>
      <c r="M83" s="150">
        <f t="shared" si="21"/>
        <v>0</v>
      </c>
      <c r="N83" s="150">
        <f t="shared" si="17"/>
        <v>0</v>
      </c>
      <c r="O83" s="150">
        <f t="shared" si="17"/>
        <v>0</v>
      </c>
      <c r="P83" s="150">
        <f t="shared" si="22"/>
        <v>0</v>
      </c>
      <c r="Q83" s="150">
        <f t="shared" si="23"/>
        <v>0</v>
      </c>
      <c r="R83" s="186">
        <f t="shared" si="24"/>
        <v>0</v>
      </c>
    </row>
    <row r="84" spans="2:18" x14ac:dyDescent="0.35">
      <c r="B84" s="25">
        <v>2021</v>
      </c>
      <c r="C84" s="78">
        <v>6</v>
      </c>
      <c r="D84" s="135">
        <v>0</v>
      </c>
      <c r="E84" s="114">
        <v>0</v>
      </c>
      <c r="F84" s="136">
        <v>0</v>
      </c>
      <c r="G84" s="147">
        <f>INDEX(S1_BaseRefNGNoHydro!C$29:C$44,MATCH($B84,S1_BaseRefNGNoHydro!$B$8:$B$23,0))*INDEX(RefTables!$D$238:$D$249,$C84)*10^6</f>
        <v>9060928.9144260921</v>
      </c>
      <c r="H84" s="34">
        <f>Inputs_AnnualElectric!D111</f>
        <v>18813920</v>
      </c>
      <c r="I84" s="34">
        <f>-INDEX(Inputs_SupplyCurve!$AA$9:$AA$24,MATCH($B84,Inputs_SupplyCurve!$S$9:$S$24,0))*INDEX(RefTables!$D$238:$D$249,$C84)</f>
        <v>-874631.49131930061</v>
      </c>
      <c r="J84" s="34">
        <f t="shared" si="18"/>
        <v>27000217.42310679</v>
      </c>
      <c r="K84" s="149">
        <f t="shared" si="19"/>
        <v>0</v>
      </c>
      <c r="L84" s="150">
        <f t="shared" si="20"/>
        <v>0</v>
      </c>
      <c r="M84" s="150">
        <f t="shared" si="21"/>
        <v>0</v>
      </c>
      <c r="N84" s="150">
        <f t="shared" si="17"/>
        <v>0</v>
      </c>
      <c r="O84" s="150">
        <f t="shared" si="17"/>
        <v>0</v>
      </c>
      <c r="P84" s="150">
        <f t="shared" si="22"/>
        <v>0</v>
      </c>
      <c r="Q84" s="150">
        <f t="shared" si="23"/>
        <v>0</v>
      </c>
      <c r="R84" s="186">
        <f t="shared" si="24"/>
        <v>0</v>
      </c>
    </row>
    <row r="85" spans="2:18" x14ac:dyDescent="0.35">
      <c r="B85" s="25">
        <v>2021</v>
      </c>
      <c r="C85" s="78">
        <v>7</v>
      </c>
      <c r="D85" s="135">
        <v>0</v>
      </c>
      <c r="E85" s="114">
        <v>0</v>
      </c>
      <c r="F85" s="136">
        <v>0</v>
      </c>
      <c r="G85" s="147">
        <f>INDEX(S1_BaseRefNGNoHydro!C$29:C$44,MATCH($B85,S1_BaseRefNGNoHydro!$B$8:$B$23,0))*INDEX(RefTables!$D$238:$D$249,$C85)*10^6</f>
        <v>7616110.5327708283</v>
      </c>
      <c r="H85" s="34">
        <f>Inputs_AnnualElectric!D112</f>
        <v>25036890</v>
      </c>
      <c r="I85" s="34">
        <f>-INDEX(Inputs_SupplyCurve!$AA$9:$AA$24,MATCH($B85,Inputs_SupplyCurve!$S$9:$S$24,0))*INDEX(RefTables!$D$238:$D$249,$C85)</f>
        <v>-735166.35835476033</v>
      </c>
      <c r="J85" s="34">
        <f t="shared" si="18"/>
        <v>31917834.174416065</v>
      </c>
      <c r="K85" s="149">
        <f t="shared" si="19"/>
        <v>0</v>
      </c>
      <c r="L85" s="150">
        <f t="shared" si="20"/>
        <v>0</v>
      </c>
      <c r="M85" s="150">
        <f t="shared" si="21"/>
        <v>0</v>
      </c>
      <c r="N85" s="150">
        <f t="shared" si="17"/>
        <v>0</v>
      </c>
      <c r="O85" s="150">
        <f t="shared" si="17"/>
        <v>0</v>
      </c>
      <c r="P85" s="150">
        <f t="shared" si="22"/>
        <v>0</v>
      </c>
      <c r="Q85" s="150">
        <f t="shared" si="23"/>
        <v>0</v>
      </c>
      <c r="R85" s="186">
        <f t="shared" si="24"/>
        <v>0</v>
      </c>
    </row>
    <row r="86" spans="2:18" x14ac:dyDescent="0.35">
      <c r="B86" s="25">
        <v>2021</v>
      </c>
      <c r="C86" s="78">
        <v>8</v>
      </c>
      <c r="D86" s="135">
        <v>0</v>
      </c>
      <c r="E86" s="114">
        <v>0</v>
      </c>
      <c r="F86" s="136">
        <v>0</v>
      </c>
      <c r="G86" s="147">
        <f>INDEX(S1_BaseRefNGNoHydro!C$29:C$44,MATCH($B86,S1_BaseRefNGNoHydro!$B$8:$B$23,0))*INDEX(RefTables!$D$238:$D$249,$C86)*10^6</f>
        <v>7769048.2801019521</v>
      </c>
      <c r="H86" s="34">
        <f>Inputs_AnnualElectric!D113</f>
        <v>24166830</v>
      </c>
      <c r="I86" s="34">
        <f>-INDEX(Inputs_SupplyCurve!$AA$9:$AA$24,MATCH($B86,Inputs_SupplyCurve!$S$9:$S$24,0))*INDEX(RefTables!$D$238:$D$249,$C86)</f>
        <v>-749929.10192007688</v>
      </c>
      <c r="J86" s="34">
        <f t="shared" si="18"/>
        <v>31185949.178181875</v>
      </c>
      <c r="K86" s="149">
        <f t="shared" si="19"/>
        <v>0</v>
      </c>
      <c r="L86" s="150">
        <f t="shared" si="20"/>
        <v>0</v>
      </c>
      <c r="M86" s="150">
        <f t="shared" si="21"/>
        <v>0</v>
      </c>
      <c r="N86" s="150">
        <f t="shared" si="17"/>
        <v>0</v>
      </c>
      <c r="O86" s="150">
        <f t="shared" si="17"/>
        <v>0</v>
      </c>
      <c r="P86" s="150">
        <f t="shared" si="22"/>
        <v>0</v>
      </c>
      <c r="Q86" s="150">
        <f t="shared" si="23"/>
        <v>0</v>
      </c>
      <c r="R86" s="186">
        <f t="shared" si="24"/>
        <v>0</v>
      </c>
    </row>
    <row r="87" spans="2:18" x14ac:dyDescent="0.35">
      <c r="B87" s="25">
        <v>2021</v>
      </c>
      <c r="C87" s="78">
        <v>9</v>
      </c>
      <c r="D87" s="135">
        <v>0</v>
      </c>
      <c r="E87" s="114">
        <v>0</v>
      </c>
      <c r="F87" s="136">
        <v>0</v>
      </c>
      <c r="G87" s="147">
        <f>INDEX(S1_BaseRefNGNoHydro!C$29:C$44,MATCH($B87,S1_BaseRefNGNoHydro!$B$8:$B$23,0))*INDEX(RefTables!$D$238:$D$249,$C87)*10^6</f>
        <v>9333510.9966095481</v>
      </c>
      <c r="H87" s="34">
        <f>Inputs_AnnualElectric!D114</f>
        <v>19427480</v>
      </c>
      <c r="I87" s="34">
        <f>-INDEX(Inputs_SupplyCurve!$AA$9:$AA$24,MATCH($B87,Inputs_SupplyCurve!$S$9:$S$24,0))*INDEX(RefTables!$D$238:$D$249,$C87)</f>
        <v>-900943.2387459313</v>
      </c>
      <c r="J87" s="34">
        <f t="shared" si="18"/>
        <v>27860047.757863615</v>
      </c>
      <c r="K87" s="149">
        <f t="shared" si="19"/>
        <v>0</v>
      </c>
      <c r="L87" s="150">
        <f t="shared" si="20"/>
        <v>0</v>
      </c>
      <c r="M87" s="150">
        <f t="shared" si="21"/>
        <v>0</v>
      </c>
      <c r="N87" s="150">
        <f t="shared" ref="N87:O106" si="25">$J87*$E87*10^-6</f>
        <v>0</v>
      </c>
      <c r="O87" s="150">
        <f t="shared" si="25"/>
        <v>0</v>
      </c>
      <c r="P87" s="150">
        <f t="shared" si="22"/>
        <v>0</v>
      </c>
      <c r="Q87" s="150">
        <f t="shared" si="23"/>
        <v>0</v>
      </c>
      <c r="R87" s="186">
        <f t="shared" si="24"/>
        <v>0</v>
      </c>
    </row>
    <row r="88" spans="2:18" x14ac:dyDescent="0.35">
      <c r="B88" s="25">
        <v>2021</v>
      </c>
      <c r="C88" s="78">
        <v>10</v>
      </c>
      <c r="D88" s="135">
        <v>0</v>
      </c>
      <c r="E88" s="114">
        <v>0</v>
      </c>
      <c r="F88" s="136">
        <v>0</v>
      </c>
      <c r="G88" s="147">
        <f>INDEX(S1_BaseRefNGNoHydro!C$29:C$44,MATCH($B88,S1_BaseRefNGNoHydro!$B$8:$B$23,0))*INDEX(RefTables!$D$238:$D$249,$C88)*10^6</f>
        <v>16567923.929569311</v>
      </c>
      <c r="H88" s="34">
        <f>Inputs_AnnualElectric!D115</f>
        <v>20097170</v>
      </c>
      <c r="I88" s="34">
        <f>-INDEX(Inputs_SupplyCurve!$AA$9:$AA$24,MATCH($B88,Inputs_SupplyCurve!$S$9:$S$24,0))*INDEX(RefTables!$D$238:$D$249,$C88)</f>
        <v>-1599265.1693263794</v>
      </c>
      <c r="J88" s="34">
        <f t="shared" si="18"/>
        <v>35065828.760242932</v>
      </c>
      <c r="K88" s="149">
        <f t="shared" si="19"/>
        <v>0</v>
      </c>
      <c r="L88" s="150">
        <f t="shared" si="20"/>
        <v>0</v>
      </c>
      <c r="M88" s="150">
        <f t="shared" si="21"/>
        <v>0</v>
      </c>
      <c r="N88" s="150">
        <f t="shared" si="25"/>
        <v>0</v>
      </c>
      <c r="O88" s="150">
        <f t="shared" si="25"/>
        <v>0</v>
      </c>
      <c r="P88" s="150">
        <f t="shared" si="22"/>
        <v>0</v>
      </c>
      <c r="Q88" s="150">
        <f t="shared" si="23"/>
        <v>0</v>
      </c>
      <c r="R88" s="186">
        <f t="shared" si="24"/>
        <v>0</v>
      </c>
    </row>
    <row r="89" spans="2:18" x14ac:dyDescent="0.35">
      <c r="B89" s="25">
        <v>2021</v>
      </c>
      <c r="C89" s="78">
        <v>11</v>
      </c>
      <c r="D89" s="135">
        <v>-3.298863436123344</v>
      </c>
      <c r="E89" s="114">
        <v>-3.2988634361233444</v>
      </c>
      <c r="F89" s="136">
        <v>-3.2988634361233444</v>
      </c>
      <c r="G89" s="147">
        <f>INDEX(S1_BaseRefNGNoHydro!C$29:C$44,MATCH($B89,S1_BaseRefNGNoHydro!$B$8:$B$23,0))*INDEX(RefTables!$D$238:$D$249,$C89)*10^6</f>
        <v>26332708.287008114</v>
      </c>
      <c r="H89" s="34">
        <f>Inputs_AnnualElectric!D116</f>
        <v>18626040</v>
      </c>
      <c r="I89" s="34">
        <f>-INDEX(Inputs_SupplyCurve!$AA$9:$AA$24,MATCH($B89,Inputs_SupplyCurve!$S$9:$S$24,0))*INDEX(RefTables!$D$238:$D$249,$C89)</f>
        <v>-2541838.274757152</v>
      </c>
      <c r="J89" s="34">
        <f t="shared" si="18"/>
        <v>42416910.01225096</v>
      </c>
      <c r="K89" s="149">
        <f t="shared" si="19"/>
        <v>-139.9275935127489</v>
      </c>
      <c r="L89" s="150">
        <f t="shared" si="20"/>
        <v>-139.92759351274887</v>
      </c>
      <c r="M89" s="150">
        <f t="shared" si="21"/>
        <v>-139.9275935127489</v>
      </c>
      <c r="N89" s="150">
        <f t="shared" si="25"/>
        <v>-139.9275935127489</v>
      </c>
      <c r="O89" s="150">
        <f t="shared" si="25"/>
        <v>-139.9275935127489</v>
      </c>
      <c r="P89" s="150">
        <f t="shared" si="22"/>
        <v>-139.92759351274887</v>
      </c>
      <c r="Q89" s="150">
        <f t="shared" si="23"/>
        <v>-139.9275935127489</v>
      </c>
      <c r="R89" s="186">
        <f t="shared" si="24"/>
        <v>-139.9275935127489</v>
      </c>
    </row>
    <row r="90" spans="2:18" x14ac:dyDescent="0.35">
      <c r="B90" s="25">
        <v>2021</v>
      </c>
      <c r="C90" s="78">
        <v>12</v>
      </c>
      <c r="D90" s="135">
        <v>-9.3517344038652901</v>
      </c>
      <c r="E90" s="114">
        <v>-9.3517344038652865</v>
      </c>
      <c r="F90" s="136">
        <v>-9.3517344038652865</v>
      </c>
      <c r="G90" s="147">
        <f>INDEX(S1_BaseRefNGNoHydro!C$29:C$44,MATCH($B90,S1_BaseRefNGNoHydro!$B$8:$B$23,0))*INDEX(RefTables!$D$238:$D$249,$C90)*10^6</f>
        <v>40801404.515414216</v>
      </c>
      <c r="H90" s="34">
        <f>Inputs_AnnualElectric!D117</f>
        <v>22213760</v>
      </c>
      <c r="I90" s="34">
        <f>-INDEX(Inputs_SupplyCurve!$AA$9:$AA$24,MATCH($B90,Inputs_SupplyCurve!$S$9:$S$24,0))*INDEX(RefTables!$D$238:$D$249,$C90)</f>
        <v>-3938469.6222946909</v>
      </c>
      <c r="J90" s="34">
        <f t="shared" si="18"/>
        <v>59076694.893119521</v>
      </c>
      <c r="K90" s="149">
        <f t="shared" si="19"/>
        <v>-552.46956009863845</v>
      </c>
      <c r="L90" s="150">
        <f t="shared" si="20"/>
        <v>-552.46956009863879</v>
      </c>
      <c r="M90" s="150">
        <f t="shared" si="21"/>
        <v>-552.46956009863845</v>
      </c>
      <c r="N90" s="150">
        <f t="shared" si="25"/>
        <v>-552.46956009863845</v>
      </c>
      <c r="O90" s="150">
        <f t="shared" si="25"/>
        <v>-552.46956009863845</v>
      </c>
      <c r="P90" s="150">
        <f t="shared" si="22"/>
        <v>-552.46956009863879</v>
      </c>
      <c r="Q90" s="150">
        <f t="shared" si="23"/>
        <v>-552.46956009863845</v>
      </c>
      <c r="R90" s="186">
        <f t="shared" si="24"/>
        <v>-552.46956009863845</v>
      </c>
    </row>
    <row r="91" spans="2:18" x14ac:dyDescent="0.35">
      <c r="B91" s="25">
        <v>2022</v>
      </c>
      <c r="C91" s="78">
        <v>1</v>
      </c>
      <c r="D91" s="135">
        <v>-19.735024726445932</v>
      </c>
      <c r="E91" s="114">
        <v>-19.735024726445925</v>
      </c>
      <c r="F91" s="136">
        <v>-19.735024726445921</v>
      </c>
      <c r="G91" s="147">
        <f>INDEX(S1_BaseRefNGNoHydro!C$29:C$44,MATCH($B91,S1_BaseRefNGNoHydro!$B$8:$B$23,0))*INDEX(RefTables!$D$238:$D$249,$C91)*10^6</f>
        <v>47388374.253857985</v>
      </c>
      <c r="H91" s="34">
        <f>Inputs_AnnualElectric!D118</f>
        <v>22868540</v>
      </c>
      <c r="I91" s="34">
        <f>-INDEX(Inputs_SupplyCurve!$AA$9:$AA$24,MATCH($B91,Inputs_SupplyCurve!$S$9:$S$24,0))*INDEX(RefTables!$D$238:$D$249,$C91)</f>
        <v>-4790264.9921732275</v>
      </c>
      <c r="J91" s="34">
        <f t="shared" si="18"/>
        <v>65466649.26168476</v>
      </c>
      <c r="K91" s="149">
        <f t="shared" si="19"/>
        <v>-1291.9859419369116</v>
      </c>
      <c r="L91" s="150">
        <f t="shared" si="20"/>
        <v>-1291.985941936912</v>
      </c>
      <c r="M91" s="150">
        <f t="shared" si="21"/>
        <v>-1291.9859419369113</v>
      </c>
      <c r="N91" s="150">
        <f t="shared" si="25"/>
        <v>-1291.9859419369116</v>
      </c>
      <c r="O91" s="150">
        <f t="shared" si="25"/>
        <v>-1291.9859419369116</v>
      </c>
      <c r="P91" s="150">
        <f t="shared" si="22"/>
        <v>-1291.985941936912</v>
      </c>
      <c r="Q91" s="150">
        <f t="shared" si="23"/>
        <v>-1291.9859419369113</v>
      </c>
      <c r="R91" s="186">
        <f t="shared" si="24"/>
        <v>-1291.9859419369116</v>
      </c>
    </row>
    <row r="92" spans="2:18" x14ac:dyDescent="0.35">
      <c r="B92" s="25">
        <v>2022</v>
      </c>
      <c r="C92" s="78">
        <v>2</v>
      </c>
      <c r="D92" s="135">
        <v>-14.661720578980493</v>
      </c>
      <c r="E92" s="114">
        <v>-14.661720578980486</v>
      </c>
      <c r="F92" s="136">
        <v>-14.661720578980496</v>
      </c>
      <c r="G92" s="147">
        <f>INDEX(S1_BaseRefNGNoHydro!C$29:C$44,MATCH($B92,S1_BaseRefNGNoHydro!$B$8:$B$23,0))*INDEX(RefTables!$D$238:$D$249,$C92)*10^6</f>
        <v>41159003.017268136</v>
      </c>
      <c r="H92" s="34">
        <f>Inputs_AnnualElectric!D119</f>
        <v>17785680</v>
      </c>
      <c r="I92" s="34">
        <f>-INDEX(Inputs_SupplyCurve!$AA$9:$AA$24,MATCH($B92,Inputs_SupplyCurve!$S$9:$S$24,0))*INDEX(RefTables!$D$238:$D$249,$C92)</f>
        <v>-4160567.5309766587</v>
      </c>
      <c r="J92" s="34">
        <f t="shared" si="18"/>
        <v>54784115.486291476</v>
      </c>
      <c r="K92" s="149">
        <f t="shared" si="19"/>
        <v>-803.22939342660311</v>
      </c>
      <c r="L92" s="150">
        <f t="shared" si="20"/>
        <v>-803.22939342660368</v>
      </c>
      <c r="M92" s="150">
        <f t="shared" si="21"/>
        <v>-803.22939342660379</v>
      </c>
      <c r="N92" s="150">
        <f t="shared" si="25"/>
        <v>-803.22939342660311</v>
      </c>
      <c r="O92" s="150">
        <f t="shared" si="25"/>
        <v>-803.22939342660311</v>
      </c>
      <c r="P92" s="150">
        <f t="shared" si="22"/>
        <v>-803.22939342660368</v>
      </c>
      <c r="Q92" s="150">
        <f t="shared" si="23"/>
        <v>-803.22939342660379</v>
      </c>
      <c r="R92" s="186">
        <f t="shared" si="24"/>
        <v>-803.22939342660311</v>
      </c>
    </row>
    <row r="93" spans="2:18" x14ac:dyDescent="0.35">
      <c r="B93" s="25">
        <v>2022</v>
      </c>
      <c r="C93" s="78">
        <v>3</v>
      </c>
      <c r="D93" s="135">
        <v>-10.900927952252381</v>
      </c>
      <c r="E93" s="114">
        <v>-10.900927952252381</v>
      </c>
      <c r="F93" s="136">
        <v>-10.900927952252378</v>
      </c>
      <c r="G93" s="147">
        <f>INDEX(S1_BaseRefNGNoHydro!C$29:C$44,MATCH($B93,S1_BaseRefNGNoHydro!$B$8:$B$23,0))*INDEX(RefTables!$D$238:$D$249,$C93)*10^6</f>
        <v>36863706.244072556</v>
      </c>
      <c r="H93" s="34">
        <f>Inputs_AnnualElectric!D120</f>
        <v>17947800</v>
      </c>
      <c r="I93" s="34">
        <f>-INDEX(Inputs_SupplyCurve!$AA$9:$AA$24,MATCH($B93,Inputs_SupplyCurve!$S$9:$S$24,0))*INDEX(RefTables!$D$238:$D$249,$C93)</f>
        <v>-3726376.4432341144</v>
      </c>
      <c r="J93" s="34">
        <f t="shared" si="18"/>
        <v>51085129.800838441</v>
      </c>
      <c r="K93" s="149">
        <f t="shared" si="19"/>
        <v>-556.87531939040082</v>
      </c>
      <c r="L93" s="150">
        <f t="shared" si="20"/>
        <v>-556.87531939040082</v>
      </c>
      <c r="M93" s="150">
        <f t="shared" si="21"/>
        <v>-556.87531939040059</v>
      </c>
      <c r="N93" s="150">
        <f t="shared" si="25"/>
        <v>-556.87531939040082</v>
      </c>
      <c r="O93" s="150">
        <f t="shared" si="25"/>
        <v>-556.87531939040082</v>
      </c>
      <c r="P93" s="150">
        <f t="shared" si="22"/>
        <v>-556.87531939040082</v>
      </c>
      <c r="Q93" s="150">
        <f t="shared" si="23"/>
        <v>-556.87531939040059</v>
      </c>
      <c r="R93" s="186">
        <f t="shared" si="24"/>
        <v>-556.87531939040082</v>
      </c>
    </row>
    <row r="94" spans="2:18" x14ac:dyDescent="0.35">
      <c r="B94" s="25">
        <v>2022</v>
      </c>
      <c r="C94" s="78">
        <v>4</v>
      </c>
      <c r="D94" s="135">
        <v>0</v>
      </c>
      <c r="E94" s="114">
        <v>0</v>
      </c>
      <c r="F94" s="136">
        <v>0</v>
      </c>
      <c r="G94" s="147">
        <f>INDEX(S1_BaseRefNGNoHydro!C$29:C$44,MATCH($B94,S1_BaseRefNGNoHydro!$B$8:$B$23,0))*INDEX(RefTables!$D$238:$D$249,$C94)*10^6</f>
        <v>23919250.196590375</v>
      </c>
      <c r="H94" s="34">
        <f>Inputs_AnnualElectric!D121</f>
        <v>19713150</v>
      </c>
      <c r="I94" s="34">
        <f>-INDEX(Inputs_SupplyCurve!$AA$9:$AA$24,MATCH($B94,Inputs_SupplyCurve!$S$9:$S$24,0))*INDEX(RefTables!$D$238:$D$249,$C94)</f>
        <v>-2417883.049584283</v>
      </c>
      <c r="J94" s="34">
        <f t="shared" si="18"/>
        <v>41214517.147006094</v>
      </c>
      <c r="K94" s="149">
        <f t="shared" si="19"/>
        <v>0</v>
      </c>
      <c r="L94" s="150">
        <f t="shared" si="20"/>
        <v>0</v>
      </c>
      <c r="M94" s="150">
        <f t="shared" si="21"/>
        <v>0</v>
      </c>
      <c r="N94" s="150">
        <f t="shared" si="25"/>
        <v>0</v>
      </c>
      <c r="O94" s="150">
        <f t="shared" si="25"/>
        <v>0</v>
      </c>
      <c r="P94" s="150">
        <f t="shared" si="22"/>
        <v>0</v>
      </c>
      <c r="Q94" s="150">
        <f t="shared" si="23"/>
        <v>0</v>
      </c>
      <c r="R94" s="186">
        <f t="shared" si="24"/>
        <v>0</v>
      </c>
    </row>
    <row r="95" spans="2:18" x14ac:dyDescent="0.35">
      <c r="B95" s="25">
        <v>2022</v>
      </c>
      <c r="C95" s="78">
        <v>5</v>
      </c>
      <c r="D95" s="135">
        <v>0</v>
      </c>
      <c r="E95" s="114">
        <v>0</v>
      </c>
      <c r="F95" s="136">
        <v>0</v>
      </c>
      <c r="G95" s="147">
        <f>INDEX(S1_BaseRefNGNoHydro!C$29:C$44,MATCH($B95,S1_BaseRefNGNoHydro!$B$8:$B$23,0))*INDEX(RefTables!$D$238:$D$249,$C95)*10^6</f>
        <v>14246155.28284914</v>
      </c>
      <c r="H95" s="34">
        <f>Inputs_AnnualElectric!D122</f>
        <v>18434800</v>
      </c>
      <c r="I95" s="34">
        <f>-INDEX(Inputs_SupplyCurve!$AA$9:$AA$24,MATCH($B95,Inputs_SupplyCurve!$S$9:$S$24,0))*INDEX(RefTables!$D$238:$D$249,$C95)</f>
        <v>-1440075.9679773175</v>
      </c>
      <c r="J95" s="34">
        <f t="shared" si="18"/>
        <v>31240879.314871822</v>
      </c>
      <c r="K95" s="149">
        <f t="shared" si="19"/>
        <v>0</v>
      </c>
      <c r="L95" s="150">
        <f t="shared" si="20"/>
        <v>0</v>
      </c>
      <c r="M95" s="150">
        <f t="shared" si="21"/>
        <v>0</v>
      </c>
      <c r="N95" s="150">
        <f t="shared" si="25"/>
        <v>0</v>
      </c>
      <c r="O95" s="150">
        <f t="shared" si="25"/>
        <v>0</v>
      </c>
      <c r="P95" s="150">
        <f t="shared" si="22"/>
        <v>0</v>
      </c>
      <c r="Q95" s="150">
        <f t="shared" si="23"/>
        <v>0</v>
      </c>
      <c r="R95" s="186">
        <f t="shared" si="24"/>
        <v>0</v>
      </c>
    </row>
    <row r="96" spans="2:18" x14ac:dyDescent="0.35">
      <c r="B96" s="25">
        <v>2022</v>
      </c>
      <c r="C96" s="78">
        <v>6</v>
      </c>
      <c r="D96" s="135">
        <v>0</v>
      </c>
      <c r="E96" s="114">
        <v>0</v>
      </c>
      <c r="F96" s="136">
        <v>0</v>
      </c>
      <c r="G96" s="147">
        <f>INDEX(S1_BaseRefNGNoHydro!C$29:C$44,MATCH($B96,S1_BaseRefNGNoHydro!$B$8:$B$23,0))*INDEX(RefTables!$D$238:$D$249,$C96)*10^6</f>
        <v>9105293.6078422815</v>
      </c>
      <c r="H96" s="34">
        <f>Inputs_AnnualElectric!D123</f>
        <v>17935420</v>
      </c>
      <c r="I96" s="34">
        <f>-INDEX(Inputs_SupplyCurve!$AA$9:$AA$24,MATCH($B96,Inputs_SupplyCurve!$S$9:$S$24,0))*INDEX(RefTables!$D$238:$D$249,$C96)</f>
        <v>-920410.75263422041</v>
      </c>
      <c r="J96" s="34">
        <f t="shared" si="18"/>
        <v>26120302.855208062</v>
      </c>
      <c r="K96" s="149">
        <f t="shared" si="19"/>
        <v>0</v>
      </c>
      <c r="L96" s="150">
        <f t="shared" si="20"/>
        <v>0</v>
      </c>
      <c r="M96" s="150">
        <f t="shared" si="21"/>
        <v>0</v>
      </c>
      <c r="N96" s="150">
        <f t="shared" si="25"/>
        <v>0</v>
      </c>
      <c r="O96" s="150">
        <f t="shared" si="25"/>
        <v>0</v>
      </c>
      <c r="P96" s="150">
        <f t="shared" si="22"/>
        <v>0</v>
      </c>
      <c r="Q96" s="150">
        <f t="shared" si="23"/>
        <v>0</v>
      </c>
      <c r="R96" s="186">
        <f t="shared" si="24"/>
        <v>0</v>
      </c>
    </row>
    <row r="97" spans="2:18" x14ac:dyDescent="0.35">
      <c r="B97" s="25">
        <v>2022</v>
      </c>
      <c r="C97" s="78">
        <v>7</v>
      </c>
      <c r="D97" s="135">
        <v>0</v>
      </c>
      <c r="E97" s="114">
        <v>0</v>
      </c>
      <c r="F97" s="136">
        <v>0</v>
      </c>
      <c r="G97" s="147">
        <f>INDEX(S1_BaseRefNGNoHydro!C$29:C$44,MATCH($B97,S1_BaseRefNGNoHydro!$B$8:$B$23,0))*INDEX(RefTables!$D$238:$D$249,$C97)*10^6</f>
        <v>7653401.0150162214</v>
      </c>
      <c r="H97" s="34">
        <f>Inputs_AnnualElectric!D124</f>
        <v>23640980</v>
      </c>
      <c r="I97" s="34">
        <f>-INDEX(Inputs_SupplyCurve!$AA$9:$AA$24,MATCH($B97,Inputs_SupplyCurve!$S$9:$S$24,0))*INDEX(RefTables!$D$238:$D$249,$C97)</f>
        <v>-773645.84733164881</v>
      </c>
      <c r="J97" s="34">
        <f t="shared" si="18"/>
        <v>30520735.16768457</v>
      </c>
      <c r="K97" s="149">
        <f t="shared" si="19"/>
        <v>0</v>
      </c>
      <c r="L97" s="150">
        <f t="shared" si="20"/>
        <v>0</v>
      </c>
      <c r="M97" s="150">
        <f t="shared" si="21"/>
        <v>0</v>
      </c>
      <c r="N97" s="150">
        <f t="shared" si="25"/>
        <v>0</v>
      </c>
      <c r="O97" s="150">
        <f t="shared" si="25"/>
        <v>0</v>
      </c>
      <c r="P97" s="150">
        <f t="shared" si="22"/>
        <v>0</v>
      </c>
      <c r="Q97" s="150">
        <f t="shared" si="23"/>
        <v>0</v>
      </c>
      <c r="R97" s="186">
        <f t="shared" si="24"/>
        <v>0</v>
      </c>
    </row>
    <row r="98" spans="2:18" x14ac:dyDescent="0.35">
      <c r="B98" s="25">
        <v>2022</v>
      </c>
      <c r="C98" s="78">
        <v>8</v>
      </c>
      <c r="D98" s="135">
        <v>0</v>
      </c>
      <c r="E98" s="114">
        <v>0</v>
      </c>
      <c r="F98" s="136">
        <v>0</v>
      </c>
      <c r="G98" s="147">
        <f>INDEX(S1_BaseRefNGNoHydro!C$29:C$44,MATCH($B98,S1_BaseRefNGNoHydro!$B$8:$B$23,0))*INDEX(RefTables!$D$238:$D$249,$C98)*10^6</f>
        <v>7807087.5858218689</v>
      </c>
      <c r="H98" s="34">
        <f>Inputs_AnnualElectric!D125</f>
        <v>22869450</v>
      </c>
      <c r="I98" s="34">
        <f>-INDEX(Inputs_SupplyCurve!$AA$9:$AA$24,MATCH($B98,Inputs_SupplyCurve!$S$9:$S$24,0))*INDEX(RefTables!$D$238:$D$249,$C98)</f>
        <v>-789181.29060205189</v>
      </c>
      <c r="J98" s="34">
        <f t="shared" si="18"/>
        <v>29887356.295219816</v>
      </c>
      <c r="K98" s="149">
        <f t="shared" si="19"/>
        <v>0</v>
      </c>
      <c r="L98" s="150">
        <f t="shared" si="20"/>
        <v>0</v>
      </c>
      <c r="M98" s="150">
        <f t="shared" si="21"/>
        <v>0</v>
      </c>
      <c r="N98" s="150">
        <f t="shared" si="25"/>
        <v>0</v>
      </c>
      <c r="O98" s="150">
        <f t="shared" si="25"/>
        <v>0</v>
      </c>
      <c r="P98" s="150">
        <f t="shared" si="22"/>
        <v>0</v>
      </c>
      <c r="Q98" s="150">
        <f t="shared" si="23"/>
        <v>0</v>
      </c>
      <c r="R98" s="186">
        <f t="shared" si="24"/>
        <v>0</v>
      </c>
    </row>
    <row r="99" spans="2:18" x14ac:dyDescent="0.35">
      <c r="B99" s="25">
        <v>2022</v>
      </c>
      <c r="C99" s="78">
        <v>9</v>
      </c>
      <c r="D99" s="135">
        <v>0</v>
      </c>
      <c r="E99" s="114">
        <v>0</v>
      </c>
      <c r="F99" s="136">
        <v>0</v>
      </c>
      <c r="G99" s="147">
        <f>INDEX(S1_BaseRefNGNoHydro!C$29:C$44,MATCH($B99,S1_BaseRefNGNoHydro!$B$8:$B$23,0))*INDEX(RefTables!$D$238:$D$249,$C99)*10^6</f>
        <v>9379210.3236621991</v>
      </c>
      <c r="H99" s="34">
        <f>Inputs_AnnualElectric!D126</f>
        <v>17734150</v>
      </c>
      <c r="I99" s="34">
        <f>-INDEX(Inputs_SupplyCurve!$AA$9:$AA$24,MATCH($B99,Inputs_SupplyCurve!$S$9:$S$24,0))*INDEX(RefTables!$D$238:$D$249,$C99)</f>
        <v>-948099.68848026078</v>
      </c>
      <c r="J99" s="34">
        <f t="shared" si="18"/>
        <v>26165260.635181937</v>
      </c>
      <c r="K99" s="149">
        <f t="shared" si="19"/>
        <v>0</v>
      </c>
      <c r="L99" s="150">
        <f t="shared" si="20"/>
        <v>0</v>
      </c>
      <c r="M99" s="150">
        <f t="shared" si="21"/>
        <v>0</v>
      </c>
      <c r="N99" s="150">
        <f t="shared" si="25"/>
        <v>0</v>
      </c>
      <c r="O99" s="150">
        <f t="shared" si="25"/>
        <v>0</v>
      </c>
      <c r="P99" s="150">
        <f t="shared" si="22"/>
        <v>0</v>
      </c>
      <c r="Q99" s="150">
        <f t="shared" si="23"/>
        <v>0</v>
      </c>
      <c r="R99" s="186">
        <f t="shared" si="24"/>
        <v>0</v>
      </c>
    </row>
    <row r="100" spans="2:18" x14ac:dyDescent="0.35">
      <c r="B100" s="25">
        <v>2022</v>
      </c>
      <c r="C100" s="78">
        <v>10</v>
      </c>
      <c r="D100" s="135">
        <v>0</v>
      </c>
      <c r="E100" s="114">
        <v>0</v>
      </c>
      <c r="F100" s="136">
        <v>0</v>
      </c>
      <c r="G100" s="147">
        <f>INDEX(S1_BaseRefNGNoHydro!C$29:C$44,MATCH($B100,S1_BaseRefNGNoHydro!$B$8:$B$23,0))*INDEX(RefTables!$D$238:$D$249,$C100)*10^6</f>
        <v>16649044.846929982</v>
      </c>
      <c r="H100" s="34">
        <f>Inputs_AnnualElectric!D127</f>
        <v>17170800</v>
      </c>
      <c r="I100" s="34">
        <f>-INDEX(Inputs_SupplyCurve!$AA$9:$AA$24,MATCH($B100,Inputs_SupplyCurve!$S$9:$S$24,0))*INDEX(RefTables!$D$238:$D$249,$C100)</f>
        <v>-1682972.6264955772</v>
      </c>
      <c r="J100" s="34">
        <f t="shared" si="18"/>
        <v>32136872.220434405</v>
      </c>
      <c r="K100" s="149">
        <f t="shared" si="19"/>
        <v>0</v>
      </c>
      <c r="L100" s="150">
        <f t="shared" si="20"/>
        <v>0</v>
      </c>
      <c r="M100" s="150">
        <f t="shared" si="21"/>
        <v>0</v>
      </c>
      <c r="N100" s="150">
        <f t="shared" si="25"/>
        <v>0</v>
      </c>
      <c r="O100" s="150">
        <f t="shared" si="25"/>
        <v>0</v>
      </c>
      <c r="P100" s="150">
        <f t="shared" si="22"/>
        <v>0</v>
      </c>
      <c r="Q100" s="150">
        <f t="shared" si="23"/>
        <v>0</v>
      </c>
      <c r="R100" s="186">
        <f t="shared" si="24"/>
        <v>0</v>
      </c>
    </row>
    <row r="101" spans="2:18" x14ac:dyDescent="0.35">
      <c r="B101" s="25">
        <v>2022</v>
      </c>
      <c r="C101" s="78">
        <v>11</v>
      </c>
      <c r="D101" s="135">
        <v>-3.2988634361233502</v>
      </c>
      <c r="E101" s="114">
        <v>-3.298863436123348</v>
      </c>
      <c r="F101" s="136">
        <v>-3.2988634361233489</v>
      </c>
      <c r="G101" s="147">
        <f>INDEX(S1_BaseRefNGNoHydro!C$29:C$44,MATCH($B101,S1_BaseRefNGNoHydro!$B$8:$B$23,0))*INDEX(RefTables!$D$238:$D$249,$C101)*10^6</f>
        <v>26461640.159336463</v>
      </c>
      <c r="H101" s="34">
        <f>Inputs_AnnualElectric!D128</f>
        <v>17094350</v>
      </c>
      <c r="I101" s="34">
        <f>-INDEX(Inputs_SupplyCurve!$AA$9:$AA$24,MATCH($B101,Inputs_SupplyCurve!$S$9:$S$24,0))*INDEX(RefTables!$D$238:$D$249,$C101)</f>
        <v>-2674881.1388150752</v>
      </c>
      <c r="J101" s="34">
        <f t="shared" si="18"/>
        <v>40881109.020521387</v>
      </c>
      <c r="K101" s="149">
        <f t="shared" si="19"/>
        <v>-134.86119577597037</v>
      </c>
      <c r="L101" s="150">
        <f t="shared" si="20"/>
        <v>-134.86119577597046</v>
      </c>
      <c r="M101" s="150">
        <f t="shared" si="21"/>
        <v>-134.86119577597043</v>
      </c>
      <c r="N101" s="150">
        <f t="shared" si="25"/>
        <v>-134.86119577597037</v>
      </c>
      <c r="O101" s="150">
        <f t="shared" si="25"/>
        <v>-134.86119577597037</v>
      </c>
      <c r="P101" s="150">
        <f t="shared" si="22"/>
        <v>-134.86119577597046</v>
      </c>
      <c r="Q101" s="150">
        <f t="shared" si="23"/>
        <v>-134.86119577597043</v>
      </c>
      <c r="R101" s="186">
        <f t="shared" si="24"/>
        <v>-134.86119577597037</v>
      </c>
    </row>
    <row r="102" spans="2:18" x14ac:dyDescent="0.35">
      <c r="B102" s="25">
        <v>2022</v>
      </c>
      <c r="C102" s="78">
        <v>12</v>
      </c>
      <c r="D102" s="135">
        <v>-9.351734403865283</v>
      </c>
      <c r="E102" s="114">
        <v>-9.3517344038652865</v>
      </c>
      <c r="F102" s="136">
        <v>-9.351734403865283</v>
      </c>
      <c r="G102" s="147">
        <f>INDEX(S1_BaseRefNGNoHydro!C$29:C$44,MATCH($B102,S1_BaseRefNGNoHydro!$B$8:$B$23,0))*INDEX(RefTables!$D$238:$D$249,$C102)*10^6</f>
        <v>41001178.933619201</v>
      </c>
      <c r="H102" s="34">
        <f>Inputs_AnnualElectric!D129</f>
        <v>20200480</v>
      </c>
      <c r="I102" s="34">
        <f>-INDEX(Inputs_SupplyCurve!$AA$9:$AA$24,MATCH($B102,Inputs_SupplyCurve!$S$9:$S$24,0))*INDEX(RefTables!$D$238:$D$249,$C102)</f>
        <v>-4144613.8462442951</v>
      </c>
      <c r="J102" s="34">
        <f t="shared" si="18"/>
        <v>57057045.087374903</v>
      </c>
      <c r="K102" s="149">
        <f t="shared" si="19"/>
        <v>-533.58233152649666</v>
      </c>
      <c r="L102" s="150">
        <f t="shared" si="20"/>
        <v>-533.58233152649655</v>
      </c>
      <c r="M102" s="150">
        <f t="shared" si="21"/>
        <v>-533.58233152649655</v>
      </c>
      <c r="N102" s="150">
        <f t="shared" si="25"/>
        <v>-533.58233152649666</v>
      </c>
      <c r="O102" s="150">
        <f t="shared" si="25"/>
        <v>-533.58233152649666</v>
      </c>
      <c r="P102" s="150">
        <f t="shared" si="22"/>
        <v>-533.58233152649655</v>
      </c>
      <c r="Q102" s="150">
        <f t="shared" si="23"/>
        <v>-533.58233152649655</v>
      </c>
      <c r="R102" s="186">
        <f t="shared" si="24"/>
        <v>-533.58233152649666</v>
      </c>
    </row>
    <row r="103" spans="2:18" x14ac:dyDescent="0.35">
      <c r="B103" s="25">
        <v>2023</v>
      </c>
      <c r="C103" s="78">
        <v>1</v>
      </c>
      <c r="D103" s="135">
        <v>-19.735024726445928</v>
      </c>
      <c r="E103" s="114">
        <v>-19.735024726445932</v>
      </c>
      <c r="F103" s="136">
        <v>-19.735024726445936</v>
      </c>
      <c r="G103" s="147">
        <f>INDEX(S1_BaseRefNGNoHydro!C$29:C$44,MATCH($B103,S1_BaseRefNGNoHydro!$B$8:$B$23,0))*INDEX(RefTables!$D$238:$D$249,$C103)*10^6</f>
        <v>47620424.162377201</v>
      </c>
      <c r="H103" s="34">
        <f>Inputs_AnnualElectric!D130</f>
        <v>22227300</v>
      </c>
      <c r="I103" s="34">
        <f>-INDEX(Inputs_SupplyCurve!$AA$9:$AA$24,MATCH($B103,Inputs_SupplyCurve!$S$9:$S$24,0))*INDEX(RefTables!$D$238:$D$249,$C103)</f>
        <v>-4900772.3850313872</v>
      </c>
      <c r="J103" s="34">
        <f t="shared" ref="J103:J134" si="26">SUM(G103:I103)</f>
        <v>64946951.777345821</v>
      </c>
      <c r="K103" s="149">
        <f t="shared" ref="K103:K134" si="27">$J103*$E103*10^-6</f>
        <v>-1281.7296992332112</v>
      </c>
      <c r="L103" s="150">
        <f t="shared" ref="L103:L134" si="28">$J103*$D103*10^-6</f>
        <v>-1281.729699233211</v>
      </c>
      <c r="M103" s="150">
        <f t="shared" ref="M103:M134" si="29">$J103*$F103*10^-6</f>
        <v>-1281.7296992332115</v>
      </c>
      <c r="N103" s="150">
        <f t="shared" si="25"/>
        <v>-1281.7296992332112</v>
      </c>
      <c r="O103" s="150">
        <f t="shared" si="25"/>
        <v>-1281.7296992332112</v>
      </c>
      <c r="P103" s="150">
        <f t="shared" ref="P103:P134" si="30">$J103*$D103*10^-6</f>
        <v>-1281.729699233211</v>
      </c>
      <c r="Q103" s="150">
        <f t="shared" ref="Q103:Q134" si="31">$J103*$F103*10^-6</f>
        <v>-1281.7296992332115</v>
      </c>
      <c r="R103" s="186">
        <f t="shared" ref="R103:R134" si="32">$J103*$E103*10^-6</f>
        <v>-1281.7296992332112</v>
      </c>
    </row>
    <row r="104" spans="2:18" x14ac:dyDescent="0.35">
      <c r="B104" s="25">
        <v>2023</v>
      </c>
      <c r="C104" s="78">
        <v>2</v>
      </c>
      <c r="D104" s="135">
        <v>-14.661720578980489</v>
      </c>
      <c r="E104" s="114">
        <v>-14.661720578980489</v>
      </c>
      <c r="F104" s="136">
        <v>-14.661720578980493</v>
      </c>
      <c r="G104" s="147">
        <f>INDEX(S1_BaseRefNGNoHydro!C$29:C$44,MATCH($B104,S1_BaseRefNGNoHydro!$B$8:$B$23,0))*INDEX(RefTables!$D$238:$D$249,$C104)*10^6</f>
        <v>41360549.135599501</v>
      </c>
      <c r="H104" s="34">
        <f>Inputs_AnnualElectric!D131</f>
        <v>18558420</v>
      </c>
      <c r="I104" s="34">
        <f>-INDEX(Inputs_SupplyCurve!$AA$9:$AA$24,MATCH($B104,Inputs_SupplyCurve!$S$9:$S$24,0))*INDEX(RefTables!$D$238:$D$249,$C104)</f>
        <v>-4256548.3319155965</v>
      </c>
      <c r="J104" s="34">
        <f t="shared" si="26"/>
        <v>55662420.803683907</v>
      </c>
      <c r="K104" s="149">
        <f t="shared" si="27"/>
        <v>-816.10686057324403</v>
      </c>
      <c r="L104" s="150">
        <f t="shared" si="28"/>
        <v>-816.10686057324403</v>
      </c>
      <c r="M104" s="150">
        <f t="shared" si="29"/>
        <v>-816.10686057324415</v>
      </c>
      <c r="N104" s="150">
        <f t="shared" si="25"/>
        <v>-816.10686057324403</v>
      </c>
      <c r="O104" s="150">
        <f t="shared" si="25"/>
        <v>-816.10686057324403</v>
      </c>
      <c r="P104" s="150">
        <f t="shared" si="30"/>
        <v>-816.10686057324403</v>
      </c>
      <c r="Q104" s="150">
        <f t="shared" si="31"/>
        <v>-816.10686057324415</v>
      </c>
      <c r="R104" s="186">
        <f t="shared" si="32"/>
        <v>-816.10686057324403</v>
      </c>
    </row>
    <row r="105" spans="2:18" x14ac:dyDescent="0.35">
      <c r="B105" s="25">
        <v>2023</v>
      </c>
      <c r="C105" s="78">
        <v>3</v>
      </c>
      <c r="D105" s="135">
        <v>-10.900927952252383</v>
      </c>
      <c r="E105" s="114">
        <v>-10.900927952252381</v>
      </c>
      <c r="F105" s="136">
        <v>-10.900927952252378</v>
      </c>
      <c r="G105" s="147">
        <f>INDEX(S1_BaseRefNGNoHydro!C$29:C$44,MATCH($B105,S1_BaseRefNGNoHydro!$B$8:$B$23,0))*INDEX(RefTables!$D$238:$D$249,$C105)*10^6</f>
        <v>37044219.28754165</v>
      </c>
      <c r="H105" s="34">
        <f>Inputs_AnnualElectric!D132</f>
        <v>17504480</v>
      </c>
      <c r="I105" s="34">
        <f>-INDEX(Inputs_SupplyCurve!$AA$9:$AA$24,MATCH($B105,Inputs_SupplyCurve!$S$9:$S$24,0))*INDEX(RefTables!$D$238:$D$249,$C105)</f>
        <v>-3812340.8201992065</v>
      </c>
      <c r="J105" s="34">
        <f t="shared" si="26"/>
        <v>50736358.467342444</v>
      </c>
      <c r="K105" s="149">
        <f t="shared" si="27"/>
        <v>-553.07338821215001</v>
      </c>
      <c r="L105" s="150">
        <f t="shared" si="28"/>
        <v>-553.07338821215012</v>
      </c>
      <c r="M105" s="150">
        <f t="shared" si="29"/>
        <v>-553.07338821214978</v>
      </c>
      <c r="N105" s="150">
        <f t="shared" si="25"/>
        <v>-553.07338821215001</v>
      </c>
      <c r="O105" s="150">
        <f t="shared" si="25"/>
        <v>-553.07338821215001</v>
      </c>
      <c r="P105" s="150">
        <f t="shared" si="30"/>
        <v>-553.07338821215012</v>
      </c>
      <c r="Q105" s="150">
        <f t="shared" si="31"/>
        <v>-553.07338821214978</v>
      </c>
      <c r="R105" s="186">
        <f t="shared" si="32"/>
        <v>-553.07338821215001</v>
      </c>
    </row>
    <row r="106" spans="2:18" x14ac:dyDescent="0.35">
      <c r="B106" s="25">
        <v>2023</v>
      </c>
      <c r="C106" s="78">
        <v>4</v>
      </c>
      <c r="D106" s="135">
        <v>0</v>
      </c>
      <c r="E106" s="114">
        <v>0</v>
      </c>
      <c r="F106" s="136">
        <v>0</v>
      </c>
      <c r="G106" s="147">
        <f>INDEX(S1_BaseRefNGNoHydro!C$29:C$44,MATCH($B106,S1_BaseRefNGNoHydro!$B$8:$B$23,0))*INDEX(RefTables!$D$238:$D$249,$C106)*10^6</f>
        <v>24036377.232648488</v>
      </c>
      <c r="H106" s="34">
        <f>Inputs_AnnualElectric!D133</f>
        <v>17791010</v>
      </c>
      <c r="I106" s="34">
        <f>-INDEX(Inputs_SupplyCurve!$AA$9:$AA$24,MATCH($B106,Inputs_SupplyCurve!$S$9:$S$24,0))*INDEX(RefTables!$D$238:$D$249,$C106)</f>
        <v>-2473661.5821878156</v>
      </c>
      <c r="J106" s="34">
        <f t="shared" si="26"/>
        <v>39353725.650460675</v>
      </c>
      <c r="K106" s="149">
        <f t="shared" si="27"/>
        <v>0</v>
      </c>
      <c r="L106" s="150">
        <f t="shared" si="28"/>
        <v>0</v>
      </c>
      <c r="M106" s="150">
        <f t="shared" si="29"/>
        <v>0</v>
      </c>
      <c r="N106" s="150">
        <f t="shared" si="25"/>
        <v>0</v>
      </c>
      <c r="O106" s="150">
        <f t="shared" si="25"/>
        <v>0</v>
      </c>
      <c r="P106" s="150">
        <f t="shared" si="30"/>
        <v>0</v>
      </c>
      <c r="Q106" s="150">
        <f t="shared" si="31"/>
        <v>0</v>
      </c>
      <c r="R106" s="186">
        <f t="shared" si="32"/>
        <v>0</v>
      </c>
    </row>
    <row r="107" spans="2:18" x14ac:dyDescent="0.35">
      <c r="B107" s="25">
        <v>2023</v>
      </c>
      <c r="C107" s="78">
        <v>5</v>
      </c>
      <c r="D107" s="135">
        <v>0</v>
      </c>
      <c r="E107" s="114">
        <v>0</v>
      </c>
      <c r="F107" s="136">
        <v>0</v>
      </c>
      <c r="G107" s="147">
        <f>INDEX(S1_BaseRefNGNoHydro!C$29:C$44,MATCH($B107,S1_BaseRefNGNoHydro!$B$8:$B$23,0))*INDEX(RefTables!$D$238:$D$249,$C107)*10^6</f>
        <v>14315915.410352703</v>
      </c>
      <c r="H107" s="34">
        <f>Inputs_AnnualElectric!D134</f>
        <v>16913540</v>
      </c>
      <c r="I107" s="34">
        <f>-INDEX(Inputs_SupplyCurve!$AA$9:$AA$24,MATCH($B107,Inputs_SupplyCurve!$S$9:$S$24,0))*INDEX(RefTables!$D$238:$D$249,$C107)</f>
        <v>-1473297.3118902075</v>
      </c>
      <c r="J107" s="34">
        <f t="shared" si="26"/>
        <v>29756158.098462496</v>
      </c>
      <c r="K107" s="149">
        <f t="shared" si="27"/>
        <v>0</v>
      </c>
      <c r="L107" s="150">
        <f t="shared" si="28"/>
        <v>0</v>
      </c>
      <c r="M107" s="150">
        <f t="shared" si="29"/>
        <v>0</v>
      </c>
      <c r="N107" s="150">
        <f t="shared" ref="N107:O126" si="33">$J107*$E107*10^-6</f>
        <v>0</v>
      </c>
      <c r="O107" s="150">
        <f t="shared" si="33"/>
        <v>0</v>
      </c>
      <c r="P107" s="150">
        <f t="shared" si="30"/>
        <v>0</v>
      </c>
      <c r="Q107" s="150">
        <f t="shared" si="31"/>
        <v>0</v>
      </c>
      <c r="R107" s="186">
        <f t="shared" si="32"/>
        <v>0</v>
      </c>
    </row>
    <row r="108" spans="2:18" x14ac:dyDescent="0.35">
      <c r="B108" s="25">
        <v>2023</v>
      </c>
      <c r="C108" s="78">
        <v>6</v>
      </c>
      <c r="D108" s="135">
        <v>0</v>
      </c>
      <c r="E108" s="114">
        <v>0</v>
      </c>
      <c r="F108" s="136">
        <v>0</v>
      </c>
      <c r="G108" s="147">
        <f>INDEX(S1_BaseRefNGNoHydro!C$29:C$44,MATCH($B108,S1_BaseRefNGNoHydro!$B$8:$B$23,0))*INDEX(RefTables!$D$238:$D$249,$C108)*10^6</f>
        <v>9149880.1247255523</v>
      </c>
      <c r="H108" s="34">
        <f>Inputs_AnnualElectric!D135</f>
        <v>18058710</v>
      </c>
      <c r="I108" s="34">
        <f>-INDEX(Inputs_SupplyCurve!$AA$9:$AA$24,MATCH($B108,Inputs_SupplyCurve!$S$9:$S$24,0))*INDEX(RefTables!$D$238:$D$249,$C108)</f>
        <v>-941643.85618870251</v>
      </c>
      <c r="J108" s="34">
        <f t="shared" si="26"/>
        <v>26266946.268536847</v>
      </c>
      <c r="K108" s="149">
        <f t="shared" si="27"/>
        <v>0</v>
      </c>
      <c r="L108" s="150">
        <f t="shared" si="28"/>
        <v>0</v>
      </c>
      <c r="M108" s="150">
        <f t="shared" si="29"/>
        <v>0</v>
      </c>
      <c r="N108" s="150">
        <f t="shared" si="33"/>
        <v>0</v>
      </c>
      <c r="O108" s="150">
        <f t="shared" si="33"/>
        <v>0</v>
      </c>
      <c r="P108" s="150">
        <f t="shared" si="30"/>
        <v>0</v>
      </c>
      <c r="Q108" s="150">
        <f t="shared" si="31"/>
        <v>0</v>
      </c>
      <c r="R108" s="186">
        <f t="shared" si="32"/>
        <v>0</v>
      </c>
    </row>
    <row r="109" spans="2:18" x14ac:dyDescent="0.35">
      <c r="B109" s="25">
        <v>2023</v>
      </c>
      <c r="C109" s="78">
        <v>7</v>
      </c>
      <c r="D109" s="135">
        <v>0</v>
      </c>
      <c r="E109" s="114">
        <v>0</v>
      </c>
      <c r="F109" s="136">
        <v>0</v>
      </c>
      <c r="G109" s="147">
        <f>INDEX(S1_BaseRefNGNoHydro!C$29:C$44,MATCH($B109,S1_BaseRefNGNoHydro!$B$8:$B$23,0))*INDEX(RefTables!$D$238:$D$249,$C109)*10^6</f>
        <v>7690877.9496728433</v>
      </c>
      <c r="H109" s="34">
        <f>Inputs_AnnualElectric!D136</f>
        <v>23180210</v>
      </c>
      <c r="I109" s="34">
        <f>-INDEX(Inputs_SupplyCurve!$AA$9:$AA$24,MATCH($B109,Inputs_SupplyCurve!$S$9:$S$24,0))*INDEX(RefTables!$D$238:$D$249,$C109)</f>
        <v>-791493.20770186838</v>
      </c>
      <c r="J109" s="34">
        <f t="shared" si="26"/>
        <v>30079594.741970975</v>
      </c>
      <c r="K109" s="149">
        <f t="shared" si="27"/>
        <v>0</v>
      </c>
      <c r="L109" s="150">
        <f t="shared" si="28"/>
        <v>0</v>
      </c>
      <c r="M109" s="150">
        <f t="shared" si="29"/>
        <v>0</v>
      </c>
      <c r="N109" s="150">
        <f t="shared" si="33"/>
        <v>0</v>
      </c>
      <c r="O109" s="150">
        <f t="shared" si="33"/>
        <v>0</v>
      </c>
      <c r="P109" s="150">
        <f t="shared" si="30"/>
        <v>0</v>
      </c>
      <c r="Q109" s="150">
        <f t="shared" si="31"/>
        <v>0</v>
      </c>
      <c r="R109" s="186">
        <f t="shared" si="32"/>
        <v>0</v>
      </c>
    </row>
    <row r="110" spans="2:18" x14ac:dyDescent="0.35">
      <c r="B110" s="25">
        <v>2023</v>
      </c>
      <c r="C110" s="78">
        <v>8</v>
      </c>
      <c r="D110" s="135">
        <v>0</v>
      </c>
      <c r="E110" s="114">
        <v>0</v>
      </c>
      <c r="F110" s="136">
        <v>0</v>
      </c>
      <c r="G110" s="147">
        <f>INDEX(S1_BaseRefNGNoHydro!C$29:C$44,MATCH($B110,S1_BaseRefNGNoHydro!$B$8:$B$23,0))*INDEX(RefTables!$D$238:$D$249,$C110)*10^6</f>
        <v>7845317.0880703852</v>
      </c>
      <c r="H110" s="34">
        <f>Inputs_AnnualElectric!D137</f>
        <v>22717450</v>
      </c>
      <c r="I110" s="34">
        <f>-INDEX(Inputs_SupplyCurve!$AA$9:$AA$24,MATCH($B110,Inputs_SupplyCurve!$S$9:$S$24,0))*INDEX(RefTables!$D$238:$D$249,$C110)</f>
        <v>-807387.04060948628</v>
      </c>
      <c r="J110" s="34">
        <f t="shared" si="26"/>
        <v>29755380.047460899</v>
      </c>
      <c r="K110" s="149">
        <f t="shared" si="27"/>
        <v>0</v>
      </c>
      <c r="L110" s="150">
        <f t="shared" si="28"/>
        <v>0</v>
      </c>
      <c r="M110" s="150">
        <f t="shared" si="29"/>
        <v>0</v>
      </c>
      <c r="N110" s="150">
        <f t="shared" si="33"/>
        <v>0</v>
      </c>
      <c r="O110" s="150">
        <f t="shared" si="33"/>
        <v>0</v>
      </c>
      <c r="P110" s="150">
        <f t="shared" si="30"/>
        <v>0</v>
      </c>
      <c r="Q110" s="150">
        <f t="shared" si="31"/>
        <v>0</v>
      </c>
      <c r="R110" s="186">
        <f t="shared" si="32"/>
        <v>0</v>
      </c>
    </row>
    <row r="111" spans="2:18" x14ac:dyDescent="0.35">
      <c r="B111" s="25">
        <v>2023</v>
      </c>
      <c r="C111" s="78">
        <v>9</v>
      </c>
      <c r="D111" s="135">
        <v>0</v>
      </c>
      <c r="E111" s="114">
        <v>0</v>
      </c>
      <c r="F111" s="136">
        <v>0</v>
      </c>
      <c r="G111" s="147">
        <f>INDEX(S1_BaseRefNGNoHydro!C$29:C$44,MATCH($B111,S1_BaseRefNGNoHydro!$B$8:$B$23,0))*INDEX(RefTables!$D$238:$D$249,$C111)*10^6</f>
        <v>9425138.1473501176</v>
      </c>
      <c r="H111" s="34">
        <f>Inputs_AnnualElectric!D138</f>
        <v>18498550</v>
      </c>
      <c r="I111" s="34">
        <f>-INDEX(Inputs_SupplyCurve!$AA$9:$AA$24,MATCH($B111,Inputs_SupplyCurve!$S$9:$S$24,0))*INDEX(RefTables!$D$238:$D$249,$C111)</f>
        <v>-969971.55254514515</v>
      </c>
      <c r="J111" s="34">
        <f t="shared" si="26"/>
        <v>26953716.594804972</v>
      </c>
      <c r="K111" s="149">
        <f t="shared" si="27"/>
        <v>0</v>
      </c>
      <c r="L111" s="150">
        <f t="shared" si="28"/>
        <v>0</v>
      </c>
      <c r="M111" s="150">
        <f t="shared" si="29"/>
        <v>0</v>
      </c>
      <c r="N111" s="150">
        <f t="shared" si="33"/>
        <v>0</v>
      </c>
      <c r="O111" s="150">
        <f t="shared" si="33"/>
        <v>0</v>
      </c>
      <c r="P111" s="150">
        <f t="shared" si="30"/>
        <v>0</v>
      </c>
      <c r="Q111" s="150">
        <f t="shared" si="31"/>
        <v>0</v>
      </c>
      <c r="R111" s="186">
        <f t="shared" si="32"/>
        <v>0</v>
      </c>
    </row>
    <row r="112" spans="2:18" x14ac:dyDescent="0.35">
      <c r="B112" s="25">
        <v>2023</v>
      </c>
      <c r="C112" s="78">
        <v>10</v>
      </c>
      <c r="D112" s="135">
        <v>0</v>
      </c>
      <c r="E112" s="114">
        <v>0</v>
      </c>
      <c r="F112" s="136">
        <v>0</v>
      </c>
      <c r="G112" s="147">
        <f>INDEX(S1_BaseRefNGNoHydro!C$29:C$44,MATCH($B112,S1_BaseRefNGNoHydro!$B$8:$B$23,0))*INDEX(RefTables!$D$238:$D$249,$C112)*10^6</f>
        <v>16730571.368877459</v>
      </c>
      <c r="H112" s="34">
        <f>Inputs_AnnualElectric!D139</f>
        <v>21216430</v>
      </c>
      <c r="I112" s="34">
        <f>-INDEX(Inputs_SupplyCurve!$AA$9:$AA$24,MATCH($B112,Inputs_SupplyCurve!$S$9:$S$24,0))*INDEX(RefTables!$D$238:$D$249,$C112)</f>
        <v>-1721797.3924551951</v>
      </c>
      <c r="J112" s="34">
        <f t="shared" si="26"/>
        <v>36225203.976422258</v>
      </c>
      <c r="K112" s="149">
        <f t="shared" si="27"/>
        <v>0</v>
      </c>
      <c r="L112" s="150">
        <f t="shared" si="28"/>
        <v>0</v>
      </c>
      <c r="M112" s="150">
        <f t="shared" si="29"/>
        <v>0</v>
      </c>
      <c r="N112" s="150">
        <f t="shared" si="33"/>
        <v>0</v>
      </c>
      <c r="O112" s="150">
        <f t="shared" si="33"/>
        <v>0</v>
      </c>
      <c r="P112" s="150">
        <f t="shared" si="30"/>
        <v>0</v>
      </c>
      <c r="Q112" s="150">
        <f t="shared" si="31"/>
        <v>0</v>
      </c>
      <c r="R112" s="186">
        <f t="shared" si="32"/>
        <v>0</v>
      </c>
    </row>
    <row r="113" spans="2:18" x14ac:dyDescent="0.35">
      <c r="B113" s="25">
        <v>2023</v>
      </c>
      <c r="C113" s="78">
        <v>11</v>
      </c>
      <c r="D113" s="135">
        <v>-3.2988634361233466</v>
      </c>
      <c r="E113" s="114">
        <v>-3.2988634361233444</v>
      </c>
      <c r="F113" s="136">
        <v>-3.2988634361233471</v>
      </c>
      <c r="G113" s="147">
        <f>INDEX(S1_BaseRefNGNoHydro!C$29:C$44,MATCH($B113,S1_BaseRefNGNoHydro!$B$8:$B$23,0))*INDEX(RefTables!$D$238:$D$249,$C113)*10^6</f>
        <v>26591216.691026457</v>
      </c>
      <c r="H113" s="34">
        <f>Inputs_AnnualElectric!D140</f>
        <v>19151970</v>
      </c>
      <c r="I113" s="34">
        <f>-INDEX(Inputs_SupplyCurve!$AA$9:$AA$24,MATCH($B113,Inputs_SupplyCurve!$S$9:$S$24,0))*INDEX(RefTables!$D$238:$D$249,$C113)</f>
        <v>-2736588.4016364198</v>
      </c>
      <c r="J113" s="34">
        <f t="shared" si="26"/>
        <v>43006598.289390035</v>
      </c>
      <c r="K113" s="149">
        <f t="shared" si="27"/>
        <v>-141.87289460891355</v>
      </c>
      <c r="L113" s="150">
        <f t="shared" si="28"/>
        <v>-141.87289460891364</v>
      </c>
      <c r="M113" s="150">
        <f t="shared" si="29"/>
        <v>-141.87289460891364</v>
      </c>
      <c r="N113" s="150">
        <f t="shared" si="33"/>
        <v>-141.87289460891355</v>
      </c>
      <c r="O113" s="150">
        <f t="shared" si="33"/>
        <v>-141.87289460891355</v>
      </c>
      <c r="P113" s="150">
        <f t="shared" si="30"/>
        <v>-141.87289460891364</v>
      </c>
      <c r="Q113" s="150">
        <f t="shared" si="31"/>
        <v>-141.87289460891364</v>
      </c>
      <c r="R113" s="186">
        <f t="shared" si="32"/>
        <v>-141.87289460891355</v>
      </c>
    </row>
    <row r="114" spans="2:18" x14ac:dyDescent="0.35">
      <c r="B114" s="25">
        <v>2023</v>
      </c>
      <c r="C114" s="78">
        <v>12</v>
      </c>
      <c r="D114" s="135">
        <v>-9.351734403865283</v>
      </c>
      <c r="E114" s="114">
        <v>-9.3517344038652865</v>
      </c>
      <c r="F114" s="136">
        <v>-9.3517344038652794</v>
      </c>
      <c r="G114" s="147">
        <f>INDEX(S1_BaseRefNGNoHydro!C$29:C$44,MATCH($B114,S1_BaseRefNGNoHydro!$B$8:$B$23,0))*INDEX(RefTables!$D$238:$D$249,$C114)*10^6</f>
        <v>41201952.223915212</v>
      </c>
      <c r="H114" s="34">
        <f>Inputs_AnnualElectric!D141</f>
        <v>20130710</v>
      </c>
      <c r="I114" s="34">
        <f>-INDEX(Inputs_SupplyCurve!$AA$9:$AA$24,MATCH($B114,Inputs_SupplyCurve!$S$9:$S$24,0))*INDEX(RefTables!$D$238:$D$249,$C114)</f>
        <v>-4240226.6090665245</v>
      </c>
      <c r="J114" s="34">
        <f t="shared" si="26"/>
        <v>57092435.614848688</v>
      </c>
      <c r="K114" s="149">
        <f t="shared" si="27"/>
        <v>-533.91329433984424</v>
      </c>
      <c r="L114" s="150">
        <f t="shared" si="28"/>
        <v>-533.91329433984401</v>
      </c>
      <c r="M114" s="150">
        <f t="shared" si="29"/>
        <v>-533.9132943398439</v>
      </c>
      <c r="N114" s="150">
        <f t="shared" si="33"/>
        <v>-533.91329433984424</v>
      </c>
      <c r="O114" s="150">
        <f t="shared" si="33"/>
        <v>-533.91329433984424</v>
      </c>
      <c r="P114" s="150">
        <f t="shared" si="30"/>
        <v>-533.91329433984401</v>
      </c>
      <c r="Q114" s="150">
        <f t="shared" si="31"/>
        <v>-533.9132943398439</v>
      </c>
      <c r="R114" s="186">
        <f t="shared" si="32"/>
        <v>-533.91329433984424</v>
      </c>
    </row>
    <row r="115" spans="2:18" x14ac:dyDescent="0.35">
      <c r="B115" s="25">
        <v>2024</v>
      </c>
      <c r="C115" s="78">
        <v>1</v>
      </c>
      <c r="D115" s="135">
        <v>-19.735024726445936</v>
      </c>
      <c r="E115" s="114">
        <v>-19.735024726445932</v>
      </c>
      <c r="F115" s="136">
        <v>-19.735024726445936</v>
      </c>
      <c r="G115" s="147">
        <f>INDEX(S1_BaseRefNGNoHydro!C$29:C$44,MATCH($B115,S1_BaseRefNGNoHydro!$B$8:$B$23,0))*INDEX(RefTables!$D$238:$D$249,$C115)*10^6</f>
        <v>47853634.320438996</v>
      </c>
      <c r="H115" s="34">
        <f>Inputs_AnnualElectric!D142</f>
        <v>24507670</v>
      </c>
      <c r="I115" s="34">
        <f>-INDEX(Inputs_SupplyCurve!$AA$9:$AA$24,MATCH($B115,Inputs_SupplyCurve!$S$9:$S$24,0))*INDEX(RefTables!$D$238:$D$249,$C115)</f>
        <v>-5045066.2914348068</v>
      </c>
      <c r="J115" s="34">
        <f t="shared" si="26"/>
        <v>67316238.029004186</v>
      </c>
      <c r="K115" s="149">
        <f t="shared" si="27"/>
        <v>-1328.4876219937175</v>
      </c>
      <c r="L115" s="150">
        <f t="shared" si="28"/>
        <v>-1328.4876219937178</v>
      </c>
      <c r="M115" s="150">
        <f t="shared" si="29"/>
        <v>-1328.4876219937178</v>
      </c>
      <c r="N115" s="150">
        <f t="shared" si="33"/>
        <v>-1328.4876219937175</v>
      </c>
      <c r="O115" s="150">
        <f t="shared" si="33"/>
        <v>-1328.4876219937175</v>
      </c>
      <c r="P115" s="150">
        <f t="shared" si="30"/>
        <v>-1328.4876219937178</v>
      </c>
      <c r="Q115" s="150">
        <f t="shared" si="31"/>
        <v>-1328.4876219937178</v>
      </c>
      <c r="R115" s="186">
        <f t="shared" si="32"/>
        <v>-1328.4876219937175</v>
      </c>
    </row>
    <row r="116" spans="2:18" x14ac:dyDescent="0.35">
      <c r="B116" s="25">
        <v>2024</v>
      </c>
      <c r="C116" s="78">
        <v>2</v>
      </c>
      <c r="D116" s="135">
        <v>-15.072781658751666</v>
      </c>
      <c r="E116" s="114">
        <v>-15.072781658751666</v>
      </c>
      <c r="F116" s="136">
        <v>-15.072781658751666</v>
      </c>
      <c r="G116" s="147">
        <f>INDEX(S1_BaseRefNGNoHydro!C$29:C$44,MATCH($B116,S1_BaseRefNGNoHydro!$B$8:$B$23,0))*INDEX(RefTables!$D$238:$D$249,$C116)*10^6</f>
        <v>41563102.984522507</v>
      </c>
      <c r="H116" s="34">
        <f>Inputs_AnnualElectric!D143</f>
        <v>21609830</v>
      </c>
      <c r="I116" s="34">
        <f>-INDEX(Inputs_SupplyCurve!$AA$9:$AA$24,MATCH($B116,Inputs_SupplyCurve!$S$9:$S$24,0))*INDEX(RefTables!$D$238:$D$249,$C116)</f>
        <v>-4381874.28838789</v>
      </c>
      <c r="J116" s="34">
        <f t="shared" si="26"/>
        <v>58791058.696134619</v>
      </c>
      <c r="K116" s="149">
        <f t="shared" si="27"/>
        <v>-886.1447912136905</v>
      </c>
      <c r="L116" s="150">
        <f t="shared" si="28"/>
        <v>-886.1447912136905</v>
      </c>
      <c r="M116" s="150">
        <f t="shared" si="29"/>
        <v>-886.1447912136905</v>
      </c>
      <c r="N116" s="150">
        <f t="shared" si="33"/>
        <v>-886.1447912136905</v>
      </c>
      <c r="O116" s="150">
        <f t="shared" si="33"/>
        <v>-886.1447912136905</v>
      </c>
      <c r="P116" s="150">
        <f t="shared" si="30"/>
        <v>-886.1447912136905</v>
      </c>
      <c r="Q116" s="150">
        <f t="shared" si="31"/>
        <v>-886.1447912136905</v>
      </c>
      <c r="R116" s="186">
        <f t="shared" si="32"/>
        <v>-886.1447912136905</v>
      </c>
    </row>
    <row r="117" spans="2:18" x14ac:dyDescent="0.35">
      <c r="B117" s="25">
        <v>2024</v>
      </c>
      <c r="C117" s="78">
        <v>3</v>
      </c>
      <c r="D117" s="135">
        <v>-10.900927952252378</v>
      </c>
      <c r="E117" s="114">
        <v>-10.900927952252374</v>
      </c>
      <c r="F117" s="136">
        <v>-10.900927952252378</v>
      </c>
      <c r="G117" s="147">
        <f>INDEX(S1_BaseRefNGNoHydro!C$29:C$44,MATCH($B117,S1_BaseRefNGNoHydro!$B$8:$B$23,0))*INDEX(RefTables!$D$238:$D$249,$C117)*10^6</f>
        <v>37225634.896228075</v>
      </c>
      <c r="H117" s="34">
        <f>Inputs_AnnualElectric!D144</f>
        <v>19574920</v>
      </c>
      <c r="I117" s="34">
        <f>-INDEX(Inputs_SupplyCurve!$AA$9:$AA$24,MATCH($B117,Inputs_SupplyCurve!$S$9:$S$24,0))*INDEX(RefTables!$D$238:$D$249,$C117)</f>
        <v>-3924587.9327498619</v>
      </c>
      <c r="J117" s="34">
        <f t="shared" si="26"/>
        <v>52875966.963478215</v>
      </c>
      <c r="K117" s="149">
        <f t="shared" si="27"/>
        <v>-576.3971062745527</v>
      </c>
      <c r="L117" s="150">
        <f t="shared" si="28"/>
        <v>-576.39710627455293</v>
      </c>
      <c r="M117" s="150">
        <f t="shared" si="29"/>
        <v>-576.39710627455293</v>
      </c>
      <c r="N117" s="150">
        <f t="shared" si="33"/>
        <v>-576.3971062745527</v>
      </c>
      <c r="O117" s="150">
        <f t="shared" si="33"/>
        <v>-576.3971062745527</v>
      </c>
      <c r="P117" s="150">
        <f t="shared" si="30"/>
        <v>-576.39710627455293</v>
      </c>
      <c r="Q117" s="150">
        <f t="shared" si="31"/>
        <v>-576.39710627455293</v>
      </c>
      <c r="R117" s="186">
        <f t="shared" si="32"/>
        <v>-576.3971062745527</v>
      </c>
    </row>
    <row r="118" spans="2:18" x14ac:dyDescent="0.35">
      <c r="B118" s="25">
        <v>2024</v>
      </c>
      <c r="C118" s="78">
        <v>4</v>
      </c>
      <c r="D118" s="135">
        <v>0</v>
      </c>
      <c r="E118" s="114">
        <v>0</v>
      </c>
      <c r="F118" s="136">
        <v>0</v>
      </c>
      <c r="G118" s="147">
        <f>INDEX(S1_BaseRefNGNoHydro!C$29:C$44,MATCH($B118,S1_BaseRefNGNoHydro!$B$8:$B$23,0))*INDEX(RefTables!$D$238:$D$249,$C118)*10^6</f>
        <v>24154089.903886884</v>
      </c>
      <c r="H118" s="34">
        <f>Inputs_AnnualElectric!D145</f>
        <v>15888900</v>
      </c>
      <c r="I118" s="34">
        <f>-INDEX(Inputs_SupplyCurve!$AA$9:$AA$24,MATCH($B118,Inputs_SupplyCurve!$S$9:$S$24,0))*INDEX(RefTables!$D$238:$D$249,$C118)</f>
        <v>-2546493.8348964178</v>
      </c>
      <c r="J118" s="34">
        <f t="shared" si="26"/>
        <v>37496496.068990469</v>
      </c>
      <c r="K118" s="149">
        <f t="shared" si="27"/>
        <v>0</v>
      </c>
      <c r="L118" s="150">
        <f t="shared" si="28"/>
        <v>0</v>
      </c>
      <c r="M118" s="150">
        <f t="shared" si="29"/>
        <v>0</v>
      </c>
      <c r="N118" s="150">
        <f t="shared" si="33"/>
        <v>0</v>
      </c>
      <c r="O118" s="150">
        <f t="shared" si="33"/>
        <v>0</v>
      </c>
      <c r="P118" s="150">
        <f t="shared" si="30"/>
        <v>0</v>
      </c>
      <c r="Q118" s="150">
        <f t="shared" si="31"/>
        <v>0</v>
      </c>
      <c r="R118" s="186">
        <f t="shared" si="32"/>
        <v>0</v>
      </c>
    </row>
    <row r="119" spans="2:18" x14ac:dyDescent="0.35">
      <c r="B119" s="25">
        <v>2024</v>
      </c>
      <c r="C119" s="78">
        <v>5</v>
      </c>
      <c r="D119" s="135">
        <v>0</v>
      </c>
      <c r="E119" s="114">
        <v>0</v>
      </c>
      <c r="F119" s="136">
        <v>0</v>
      </c>
      <c r="G119" s="147">
        <f>INDEX(S1_BaseRefNGNoHydro!C$29:C$44,MATCH($B119,S1_BaseRefNGNoHydro!$B$8:$B$23,0))*INDEX(RefTables!$D$238:$D$249,$C119)*10^6</f>
        <v>14386024.338493779</v>
      </c>
      <c r="H119" s="34">
        <f>Inputs_AnnualElectric!D146</f>
        <v>16527230</v>
      </c>
      <c r="I119" s="34">
        <f>-INDEX(Inputs_SupplyCurve!$AA$9:$AA$24,MATCH($B119,Inputs_SupplyCurve!$S$9:$S$24,0))*INDEX(RefTables!$D$238:$D$249,$C119)</f>
        <v>-1516675.7444563904</v>
      </c>
      <c r="J119" s="34">
        <f t="shared" si="26"/>
        <v>29396578.594037388</v>
      </c>
      <c r="K119" s="149">
        <f t="shared" si="27"/>
        <v>0</v>
      </c>
      <c r="L119" s="150">
        <f t="shared" si="28"/>
        <v>0</v>
      </c>
      <c r="M119" s="150">
        <f t="shared" si="29"/>
        <v>0</v>
      </c>
      <c r="N119" s="150">
        <f t="shared" si="33"/>
        <v>0</v>
      </c>
      <c r="O119" s="150">
        <f t="shared" si="33"/>
        <v>0</v>
      </c>
      <c r="P119" s="150">
        <f t="shared" si="30"/>
        <v>0</v>
      </c>
      <c r="Q119" s="150">
        <f t="shared" si="31"/>
        <v>0</v>
      </c>
      <c r="R119" s="186">
        <f t="shared" si="32"/>
        <v>0</v>
      </c>
    </row>
    <row r="120" spans="2:18" x14ac:dyDescent="0.35">
      <c r="B120" s="25">
        <v>2024</v>
      </c>
      <c r="C120" s="78">
        <v>6</v>
      </c>
      <c r="D120" s="135">
        <v>0</v>
      </c>
      <c r="E120" s="114">
        <v>0</v>
      </c>
      <c r="F120" s="136">
        <v>0</v>
      </c>
      <c r="G120" s="147">
        <f>INDEX(S1_BaseRefNGNoHydro!C$29:C$44,MATCH($B120,S1_BaseRefNGNoHydro!$B$8:$B$23,0))*INDEX(RefTables!$D$238:$D$249,$C120)*10^6</f>
        <v>9194689.5741932355</v>
      </c>
      <c r="H120" s="34">
        <f>Inputs_AnnualElectric!D147</f>
        <v>19688750</v>
      </c>
      <c r="I120" s="34">
        <f>-INDEX(Inputs_SupplyCurve!$AA$9:$AA$24,MATCH($B120,Inputs_SupplyCurve!$S$9:$S$24,0))*INDEX(RefTables!$D$238:$D$249,$C120)</f>
        <v>-969368.7656060938</v>
      </c>
      <c r="J120" s="34">
        <f t="shared" si="26"/>
        <v>27914070.808587141</v>
      </c>
      <c r="K120" s="149">
        <f t="shared" si="27"/>
        <v>0</v>
      </c>
      <c r="L120" s="150">
        <f t="shared" si="28"/>
        <v>0</v>
      </c>
      <c r="M120" s="150">
        <f t="shared" si="29"/>
        <v>0</v>
      </c>
      <c r="N120" s="150">
        <f t="shared" si="33"/>
        <v>0</v>
      </c>
      <c r="O120" s="150">
        <f t="shared" si="33"/>
        <v>0</v>
      </c>
      <c r="P120" s="150">
        <f t="shared" si="30"/>
        <v>0</v>
      </c>
      <c r="Q120" s="150">
        <f t="shared" si="31"/>
        <v>0</v>
      </c>
      <c r="R120" s="186">
        <f t="shared" si="32"/>
        <v>0</v>
      </c>
    </row>
    <row r="121" spans="2:18" x14ac:dyDescent="0.35">
      <c r="B121" s="25">
        <v>2024</v>
      </c>
      <c r="C121" s="78">
        <v>7</v>
      </c>
      <c r="D121" s="135">
        <v>0</v>
      </c>
      <c r="E121" s="114">
        <v>0</v>
      </c>
      <c r="F121" s="136">
        <v>0</v>
      </c>
      <c r="G121" s="147">
        <f>INDEX(S1_BaseRefNGNoHydro!C$29:C$44,MATCH($B121,S1_BaseRefNGNoHydro!$B$8:$B$23,0))*INDEX(RefTables!$D$238:$D$249,$C121)*10^6</f>
        <v>7728542.2690027459</v>
      </c>
      <c r="H121" s="34">
        <f>Inputs_AnnualElectric!D148</f>
        <v>25305510</v>
      </c>
      <c r="I121" s="34">
        <f>-INDEX(Inputs_SupplyCurve!$AA$9:$AA$24,MATCH($B121,Inputs_SupplyCurve!$S$9:$S$24,0))*INDEX(RefTables!$D$238:$D$249,$C121)</f>
        <v>-814797.21732694388</v>
      </c>
      <c r="J121" s="34">
        <f t="shared" si="26"/>
        <v>32219255.051675804</v>
      </c>
      <c r="K121" s="149">
        <f t="shared" si="27"/>
        <v>0</v>
      </c>
      <c r="L121" s="150">
        <f t="shared" si="28"/>
        <v>0</v>
      </c>
      <c r="M121" s="150">
        <f t="shared" si="29"/>
        <v>0</v>
      </c>
      <c r="N121" s="150">
        <f t="shared" si="33"/>
        <v>0</v>
      </c>
      <c r="O121" s="150">
        <f t="shared" si="33"/>
        <v>0</v>
      </c>
      <c r="P121" s="150">
        <f t="shared" si="30"/>
        <v>0</v>
      </c>
      <c r="Q121" s="150">
        <f t="shared" si="31"/>
        <v>0</v>
      </c>
      <c r="R121" s="186">
        <f t="shared" si="32"/>
        <v>0</v>
      </c>
    </row>
    <row r="122" spans="2:18" x14ac:dyDescent="0.35">
      <c r="B122" s="25">
        <v>2024</v>
      </c>
      <c r="C122" s="78">
        <v>8</v>
      </c>
      <c r="D122" s="135">
        <v>0</v>
      </c>
      <c r="E122" s="114">
        <v>0</v>
      </c>
      <c r="F122" s="136">
        <v>0</v>
      </c>
      <c r="G122" s="147">
        <f>INDEX(S1_BaseRefNGNoHydro!C$29:C$44,MATCH($B122,S1_BaseRefNGNoHydro!$B$8:$B$23,0))*INDEX(RefTables!$D$238:$D$249,$C122)*10^6</f>
        <v>7883737.7378301425</v>
      </c>
      <c r="H122" s="34">
        <f>Inputs_AnnualElectric!D149</f>
        <v>24868930</v>
      </c>
      <c r="I122" s="34">
        <f>-INDEX(Inputs_SupplyCurve!$AA$9:$AA$24,MATCH($B122,Inputs_SupplyCurve!$S$9:$S$24,0))*INDEX(RefTables!$D$238:$D$249,$C122)</f>
        <v>-831159.01386514551</v>
      </c>
      <c r="J122" s="34">
        <f t="shared" si="26"/>
        <v>31921508.723964997</v>
      </c>
      <c r="K122" s="149">
        <f t="shared" si="27"/>
        <v>0</v>
      </c>
      <c r="L122" s="150">
        <f t="shared" si="28"/>
        <v>0</v>
      </c>
      <c r="M122" s="150">
        <f t="shared" si="29"/>
        <v>0</v>
      </c>
      <c r="N122" s="150">
        <f t="shared" si="33"/>
        <v>0</v>
      </c>
      <c r="O122" s="150">
        <f t="shared" si="33"/>
        <v>0</v>
      </c>
      <c r="P122" s="150">
        <f t="shared" si="30"/>
        <v>0</v>
      </c>
      <c r="Q122" s="150">
        <f t="shared" si="31"/>
        <v>0</v>
      </c>
      <c r="R122" s="186">
        <f t="shared" si="32"/>
        <v>0</v>
      </c>
    </row>
    <row r="123" spans="2:18" x14ac:dyDescent="0.35">
      <c r="B123" s="25">
        <v>2024</v>
      </c>
      <c r="C123" s="78">
        <v>9</v>
      </c>
      <c r="D123" s="135">
        <v>0</v>
      </c>
      <c r="E123" s="114">
        <v>0</v>
      </c>
      <c r="F123" s="136">
        <v>0</v>
      </c>
      <c r="G123" s="147">
        <f>INDEX(S1_BaseRefNGNoHydro!C$29:C$44,MATCH($B123,S1_BaseRefNGNoHydro!$B$8:$B$23,0))*INDEX(RefTables!$D$238:$D$249,$C123)*10^6</f>
        <v>9471295.6101564746</v>
      </c>
      <c r="H123" s="34">
        <f>Inputs_AnnualElectric!D150</f>
        <v>19852150</v>
      </c>
      <c r="I123" s="34">
        <f>-INDEX(Inputs_SupplyCurve!$AA$9:$AA$24,MATCH($B123,Inputs_SupplyCurve!$S$9:$S$24,0))*INDEX(RefTables!$D$238:$D$249,$C123)</f>
        <v>-998530.51701458613</v>
      </c>
      <c r="J123" s="34">
        <f t="shared" si="26"/>
        <v>28324915.093141891</v>
      </c>
      <c r="K123" s="149">
        <f t="shared" si="27"/>
        <v>0</v>
      </c>
      <c r="L123" s="150">
        <f t="shared" si="28"/>
        <v>0</v>
      </c>
      <c r="M123" s="150">
        <f t="shared" si="29"/>
        <v>0</v>
      </c>
      <c r="N123" s="150">
        <f t="shared" si="33"/>
        <v>0</v>
      </c>
      <c r="O123" s="150">
        <f t="shared" si="33"/>
        <v>0</v>
      </c>
      <c r="P123" s="150">
        <f t="shared" si="30"/>
        <v>0</v>
      </c>
      <c r="Q123" s="150">
        <f t="shared" si="31"/>
        <v>0</v>
      </c>
      <c r="R123" s="186">
        <f t="shared" si="32"/>
        <v>0</v>
      </c>
    </row>
    <row r="124" spans="2:18" x14ac:dyDescent="0.35">
      <c r="B124" s="25">
        <v>2024</v>
      </c>
      <c r="C124" s="78">
        <v>10</v>
      </c>
      <c r="D124" s="135">
        <v>0</v>
      </c>
      <c r="E124" s="114">
        <v>0</v>
      </c>
      <c r="F124" s="136">
        <v>0</v>
      </c>
      <c r="G124" s="147">
        <f>INDEX(S1_BaseRefNGNoHydro!C$29:C$44,MATCH($B124,S1_BaseRefNGNoHydro!$B$8:$B$23,0))*INDEX(RefTables!$D$238:$D$249,$C124)*10^6</f>
        <v>16812505.523434665</v>
      </c>
      <c r="H124" s="34">
        <f>Inputs_AnnualElectric!D151</f>
        <v>20097470</v>
      </c>
      <c r="I124" s="34">
        <f>-INDEX(Inputs_SupplyCurve!$AA$9:$AA$24,MATCH($B124,Inputs_SupplyCurve!$S$9:$S$24,0))*INDEX(RefTables!$D$238:$D$249,$C124)</f>
        <v>-1772492.4364754839</v>
      </c>
      <c r="J124" s="34">
        <f t="shared" si="26"/>
        <v>35137483.086959183</v>
      </c>
      <c r="K124" s="149">
        <f t="shared" si="27"/>
        <v>0</v>
      </c>
      <c r="L124" s="150">
        <f t="shared" si="28"/>
        <v>0</v>
      </c>
      <c r="M124" s="150">
        <f t="shared" si="29"/>
        <v>0</v>
      </c>
      <c r="N124" s="150">
        <f t="shared" si="33"/>
        <v>0</v>
      </c>
      <c r="O124" s="150">
        <f t="shared" si="33"/>
        <v>0</v>
      </c>
      <c r="P124" s="150">
        <f t="shared" si="30"/>
        <v>0</v>
      </c>
      <c r="Q124" s="150">
        <f t="shared" si="31"/>
        <v>0</v>
      </c>
      <c r="R124" s="186">
        <f t="shared" si="32"/>
        <v>0</v>
      </c>
    </row>
    <row r="125" spans="2:18" x14ac:dyDescent="0.35">
      <c r="B125" s="25">
        <v>2024</v>
      </c>
      <c r="C125" s="78">
        <v>11</v>
      </c>
      <c r="D125" s="135">
        <v>-3.2988634361233435</v>
      </c>
      <c r="E125" s="114">
        <v>-3.2988634361233435</v>
      </c>
      <c r="F125" s="136">
        <v>-3.2988634361233489</v>
      </c>
      <c r="G125" s="147">
        <f>INDEX(S1_BaseRefNGNoHydro!C$29:C$44,MATCH($B125,S1_BaseRefNGNoHydro!$B$8:$B$23,0))*INDEX(RefTables!$D$238:$D$249,$C125)*10^6</f>
        <v>26721441.105374895</v>
      </c>
      <c r="H125" s="34">
        <f>Inputs_AnnualElectric!D152</f>
        <v>18507910</v>
      </c>
      <c r="I125" s="34">
        <f>-INDEX(Inputs_SupplyCurve!$AA$9:$AA$24,MATCH($B125,Inputs_SupplyCurve!$S$9:$S$24,0))*INDEX(RefTables!$D$238:$D$249,$C125)</f>
        <v>-2817162.033641139</v>
      </c>
      <c r="J125" s="34">
        <f t="shared" si="26"/>
        <v>42412189.071733758</v>
      </c>
      <c r="K125" s="149">
        <f t="shared" si="27"/>
        <v>-139.91201977469254</v>
      </c>
      <c r="L125" s="150">
        <f t="shared" si="28"/>
        <v>-139.91201977469254</v>
      </c>
      <c r="M125" s="150">
        <f t="shared" si="29"/>
        <v>-139.91201977469277</v>
      </c>
      <c r="N125" s="150">
        <f t="shared" si="33"/>
        <v>-139.91201977469254</v>
      </c>
      <c r="O125" s="150">
        <f t="shared" si="33"/>
        <v>-139.91201977469254</v>
      </c>
      <c r="P125" s="150">
        <f t="shared" si="30"/>
        <v>-139.91201977469254</v>
      </c>
      <c r="Q125" s="150">
        <f t="shared" si="31"/>
        <v>-139.91201977469277</v>
      </c>
      <c r="R125" s="186">
        <f t="shared" si="32"/>
        <v>-139.91201977469254</v>
      </c>
    </row>
    <row r="126" spans="2:18" x14ac:dyDescent="0.35">
      <c r="B126" s="25">
        <v>2024</v>
      </c>
      <c r="C126" s="78">
        <v>12</v>
      </c>
      <c r="D126" s="135">
        <v>-9.3517344038652865</v>
      </c>
      <c r="E126" s="114">
        <v>-9.3517344038652794</v>
      </c>
      <c r="F126" s="136">
        <v>-9.3517344038652865</v>
      </c>
      <c r="G126" s="147">
        <f>INDEX(S1_BaseRefNGNoHydro!C$29:C$44,MATCH($B126,S1_BaseRefNGNoHydro!$B$8:$B$23,0))*INDEX(RefTables!$D$238:$D$249,$C126)*10^6</f>
        <v>41403729.380662702</v>
      </c>
      <c r="H126" s="34">
        <f>Inputs_AnnualElectric!D153</f>
        <v>21793560</v>
      </c>
      <c r="I126" s="34">
        <f>-INDEX(Inputs_SupplyCurve!$AA$9:$AA$24,MATCH($B126,Inputs_SupplyCurve!$S$9:$S$24,0))*INDEX(RefTables!$D$238:$D$249,$C126)</f>
        <v>-4365072.0035040826</v>
      </c>
      <c r="J126" s="34">
        <f t="shared" si="26"/>
        <v>58832217.377158619</v>
      </c>
      <c r="K126" s="149">
        <f t="shared" si="27"/>
        <v>-550.18327130165505</v>
      </c>
      <c r="L126" s="150">
        <f t="shared" si="28"/>
        <v>-550.1832713016554</v>
      </c>
      <c r="M126" s="150">
        <f t="shared" si="29"/>
        <v>-550.1832713016554</v>
      </c>
      <c r="N126" s="150">
        <f t="shared" si="33"/>
        <v>-550.18327130165505</v>
      </c>
      <c r="O126" s="150">
        <f t="shared" si="33"/>
        <v>-550.18327130165505</v>
      </c>
      <c r="P126" s="150">
        <f t="shared" si="30"/>
        <v>-550.1832713016554</v>
      </c>
      <c r="Q126" s="150">
        <f t="shared" si="31"/>
        <v>-550.1832713016554</v>
      </c>
      <c r="R126" s="186">
        <f t="shared" si="32"/>
        <v>-550.18327130165505</v>
      </c>
    </row>
    <row r="127" spans="2:18" x14ac:dyDescent="0.35">
      <c r="B127" s="25">
        <v>2025</v>
      </c>
      <c r="C127" s="78">
        <v>1</v>
      </c>
      <c r="D127" s="135">
        <v>-19.735024726445932</v>
      </c>
      <c r="E127" s="114">
        <v>-19.735024726445928</v>
      </c>
      <c r="F127" s="136">
        <v>-19.735024726445932</v>
      </c>
      <c r="G127" s="147">
        <f>INDEX(S1_BaseRefNGNoHydro!C$29:C$44,MATCH($B127,S1_BaseRefNGNoHydro!$B$8:$B$23,0))*INDEX(RefTables!$D$238:$D$249,$C127)*10^6</f>
        <v>48088010.529291093</v>
      </c>
      <c r="H127" s="34">
        <f>Inputs_AnnualElectric!D154</f>
        <v>24451710</v>
      </c>
      <c r="I127" s="34">
        <f>-INDEX(Inputs_SupplyCurve!$AA$9:$AA$24,MATCH($B127,Inputs_SupplyCurve!$S$9:$S$24,0))*INDEX(RefTables!$D$238:$D$249,$C127)</f>
        <v>-5170443.2865657592</v>
      </c>
      <c r="J127" s="34">
        <f t="shared" si="26"/>
        <v>67369277.242725328</v>
      </c>
      <c r="K127" s="149">
        <f t="shared" si="27"/>
        <v>-1329.5343521879754</v>
      </c>
      <c r="L127" s="150">
        <f t="shared" si="28"/>
        <v>-1329.5343521879756</v>
      </c>
      <c r="M127" s="150">
        <f t="shared" si="29"/>
        <v>-1329.5343521879756</v>
      </c>
      <c r="N127" s="150">
        <f t="shared" ref="N127:O146" si="34">$J127*$E127*10^-6</f>
        <v>-1329.5343521879754</v>
      </c>
      <c r="O127" s="150">
        <f t="shared" si="34"/>
        <v>-1329.5343521879754</v>
      </c>
      <c r="P127" s="150">
        <f t="shared" si="30"/>
        <v>-1329.5343521879756</v>
      </c>
      <c r="Q127" s="150">
        <f t="shared" si="31"/>
        <v>-1329.5343521879756</v>
      </c>
      <c r="R127" s="186">
        <f t="shared" si="32"/>
        <v>-1329.5343521879754</v>
      </c>
    </row>
    <row r="128" spans="2:18" x14ac:dyDescent="0.35">
      <c r="B128" s="25">
        <v>2025</v>
      </c>
      <c r="C128" s="78">
        <v>2</v>
      </c>
      <c r="D128" s="135">
        <v>-14.661720578980489</v>
      </c>
      <c r="E128" s="114">
        <v>-14.661720578980493</v>
      </c>
      <c r="F128" s="136">
        <v>-14.661720578980493</v>
      </c>
      <c r="G128" s="147">
        <f>INDEX(S1_BaseRefNGNoHydro!C$29:C$44,MATCH($B128,S1_BaseRefNGNoHydro!$B$8:$B$23,0))*INDEX(RefTables!$D$238:$D$249,$C128)*10^6</f>
        <v>41766669.602690138</v>
      </c>
      <c r="H128" s="34">
        <f>Inputs_AnnualElectric!D155</f>
        <v>19732160</v>
      </c>
      <c r="I128" s="34">
        <f>-INDEX(Inputs_SupplyCurve!$AA$9:$AA$24,MATCH($B128,Inputs_SupplyCurve!$S$9:$S$24,0))*INDEX(RefTables!$D$238:$D$249,$C128)</f>
        <v>-4490770.0292134108</v>
      </c>
      <c r="J128" s="34">
        <f t="shared" si="26"/>
        <v>57008059.573476724</v>
      </c>
      <c r="K128" s="149">
        <f t="shared" si="27"/>
        <v>-835.83624021618959</v>
      </c>
      <c r="L128" s="150">
        <f t="shared" si="28"/>
        <v>-835.83624021618937</v>
      </c>
      <c r="M128" s="150">
        <f t="shared" si="29"/>
        <v>-835.83624021618959</v>
      </c>
      <c r="N128" s="150">
        <f t="shared" si="34"/>
        <v>-835.83624021618959</v>
      </c>
      <c r="O128" s="150">
        <f t="shared" si="34"/>
        <v>-835.83624021618959</v>
      </c>
      <c r="P128" s="150">
        <f t="shared" si="30"/>
        <v>-835.83624021618937</v>
      </c>
      <c r="Q128" s="150">
        <f t="shared" si="31"/>
        <v>-835.83624021618959</v>
      </c>
      <c r="R128" s="186">
        <f t="shared" si="32"/>
        <v>-835.83624021618959</v>
      </c>
    </row>
    <row r="129" spans="2:18" x14ac:dyDescent="0.35">
      <c r="B129" s="25">
        <v>2025</v>
      </c>
      <c r="C129" s="78">
        <v>3</v>
      </c>
      <c r="D129" s="135">
        <v>-10.900927952252385</v>
      </c>
      <c r="E129" s="114">
        <v>-10.900927952252381</v>
      </c>
      <c r="F129" s="136">
        <v>-10.900927952252379</v>
      </c>
      <c r="G129" s="147">
        <f>INDEX(S1_BaseRefNGNoHydro!C$29:C$44,MATCH($B129,S1_BaseRefNGNoHydro!$B$8:$B$23,0))*INDEX(RefTables!$D$238:$D$249,$C129)*10^6</f>
        <v>37407957.582957931</v>
      </c>
      <c r="H129" s="34">
        <f>Inputs_AnnualElectric!D156</f>
        <v>20445490</v>
      </c>
      <c r="I129" s="34">
        <f>-INDEX(Inputs_SupplyCurve!$AA$9:$AA$24,MATCH($B129,Inputs_SupplyCurve!$S$9:$S$24,0))*INDEX(RefTables!$D$238:$D$249,$C129)</f>
        <v>-4022119.4642920247</v>
      </c>
      <c r="J129" s="34">
        <f t="shared" si="26"/>
        <v>53831328.118665904</v>
      </c>
      <c r="K129" s="149">
        <f t="shared" si="27"/>
        <v>-586.81142939563472</v>
      </c>
      <c r="L129" s="150">
        <f t="shared" si="28"/>
        <v>-586.81142939563483</v>
      </c>
      <c r="M129" s="150">
        <f t="shared" si="29"/>
        <v>-586.8114293956346</v>
      </c>
      <c r="N129" s="150">
        <f t="shared" si="34"/>
        <v>-586.81142939563472</v>
      </c>
      <c r="O129" s="150">
        <f t="shared" si="34"/>
        <v>-586.81142939563472</v>
      </c>
      <c r="P129" s="150">
        <f t="shared" si="30"/>
        <v>-586.81142939563483</v>
      </c>
      <c r="Q129" s="150">
        <f t="shared" si="31"/>
        <v>-586.8114293956346</v>
      </c>
      <c r="R129" s="186">
        <f t="shared" si="32"/>
        <v>-586.81142939563472</v>
      </c>
    </row>
    <row r="130" spans="2:18" x14ac:dyDescent="0.35">
      <c r="B130" s="25">
        <v>2025</v>
      </c>
      <c r="C130" s="78">
        <v>4</v>
      </c>
      <c r="D130" s="135">
        <v>0</v>
      </c>
      <c r="E130" s="114">
        <v>0</v>
      </c>
      <c r="F130" s="136">
        <v>0</v>
      </c>
      <c r="G130" s="147">
        <f>INDEX(S1_BaseRefNGNoHydro!C$29:C$44,MATCH($B130,S1_BaseRefNGNoHydro!$B$8:$B$23,0))*INDEX(RefTables!$D$238:$D$249,$C130)*10^6</f>
        <v>24272391.138481475</v>
      </c>
      <c r="H130" s="34">
        <f>Inputs_AnnualElectric!D157</f>
        <v>20897290</v>
      </c>
      <c r="I130" s="34">
        <f>-INDEX(Inputs_SupplyCurve!$AA$9:$AA$24,MATCH($B130,Inputs_SupplyCurve!$S$9:$S$24,0))*INDEX(RefTables!$D$238:$D$249,$C130)</f>
        <v>-2609777.78929774</v>
      </c>
      <c r="J130" s="34">
        <f t="shared" si="26"/>
        <v>42559903.349183738</v>
      </c>
      <c r="K130" s="149">
        <f t="shared" si="27"/>
        <v>0</v>
      </c>
      <c r="L130" s="150">
        <f t="shared" si="28"/>
        <v>0</v>
      </c>
      <c r="M130" s="150">
        <f t="shared" si="29"/>
        <v>0</v>
      </c>
      <c r="N130" s="150">
        <f t="shared" si="34"/>
        <v>0</v>
      </c>
      <c r="O130" s="150">
        <f t="shared" si="34"/>
        <v>0</v>
      </c>
      <c r="P130" s="150">
        <f t="shared" si="30"/>
        <v>0</v>
      </c>
      <c r="Q130" s="150">
        <f t="shared" si="31"/>
        <v>0</v>
      </c>
      <c r="R130" s="186">
        <f t="shared" si="32"/>
        <v>0</v>
      </c>
    </row>
    <row r="131" spans="2:18" x14ac:dyDescent="0.35">
      <c r="B131" s="25">
        <v>2025</v>
      </c>
      <c r="C131" s="78">
        <v>5</v>
      </c>
      <c r="D131" s="135">
        <v>0</v>
      </c>
      <c r="E131" s="114">
        <v>0</v>
      </c>
      <c r="F131" s="136">
        <v>0</v>
      </c>
      <c r="G131" s="147">
        <f>INDEX(S1_BaseRefNGNoHydro!C$29:C$44,MATCH($B131,S1_BaseRefNGNoHydro!$B$8:$B$23,0))*INDEX(RefTables!$D$238:$D$249,$C131)*10^6</f>
        <v>14456483.81127556</v>
      </c>
      <c r="H131" s="34">
        <f>Inputs_AnnualElectric!D158</f>
        <v>20227920</v>
      </c>
      <c r="I131" s="34">
        <f>-INDEX(Inputs_SupplyCurve!$AA$9:$AA$24,MATCH($B131,Inputs_SupplyCurve!$S$9:$S$24,0))*INDEX(RefTables!$D$238:$D$249,$C131)</f>
        <v>-1554367.2704826745</v>
      </c>
      <c r="J131" s="34">
        <f t="shared" si="26"/>
        <v>33130036.540792882</v>
      </c>
      <c r="K131" s="149">
        <f t="shared" si="27"/>
        <v>0</v>
      </c>
      <c r="L131" s="150">
        <f t="shared" si="28"/>
        <v>0</v>
      </c>
      <c r="M131" s="150">
        <f t="shared" si="29"/>
        <v>0</v>
      </c>
      <c r="N131" s="150">
        <f t="shared" si="34"/>
        <v>0</v>
      </c>
      <c r="O131" s="150">
        <f t="shared" si="34"/>
        <v>0</v>
      </c>
      <c r="P131" s="150">
        <f t="shared" si="30"/>
        <v>0</v>
      </c>
      <c r="Q131" s="150">
        <f t="shared" si="31"/>
        <v>0</v>
      </c>
      <c r="R131" s="186">
        <f t="shared" si="32"/>
        <v>0</v>
      </c>
    </row>
    <row r="132" spans="2:18" x14ac:dyDescent="0.35">
      <c r="B132" s="25">
        <v>2025</v>
      </c>
      <c r="C132" s="78">
        <v>6</v>
      </c>
      <c r="D132" s="135">
        <v>0</v>
      </c>
      <c r="E132" s="114">
        <v>0</v>
      </c>
      <c r="F132" s="136">
        <v>0</v>
      </c>
      <c r="G132" s="147">
        <f>INDEX(S1_BaseRefNGNoHydro!C$29:C$44,MATCH($B132,S1_BaseRefNGNoHydro!$B$8:$B$23,0))*INDEX(RefTables!$D$238:$D$249,$C132)*10^6</f>
        <v>9239723.0709082577</v>
      </c>
      <c r="H132" s="34">
        <f>Inputs_AnnualElectric!D159</f>
        <v>20213360</v>
      </c>
      <c r="I132" s="34">
        <f>-INDEX(Inputs_SupplyCurve!$AA$9:$AA$24,MATCH($B132,Inputs_SupplyCurve!$S$9:$S$24,0))*INDEX(RefTables!$D$238:$D$249,$C132)</f>
        <v>-993458.94321423152</v>
      </c>
      <c r="J132" s="34">
        <f t="shared" si="26"/>
        <v>28459624.127694026</v>
      </c>
      <c r="K132" s="149">
        <f t="shared" si="27"/>
        <v>0</v>
      </c>
      <c r="L132" s="150">
        <f t="shared" si="28"/>
        <v>0</v>
      </c>
      <c r="M132" s="150">
        <f t="shared" si="29"/>
        <v>0</v>
      </c>
      <c r="N132" s="150">
        <f t="shared" si="34"/>
        <v>0</v>
      </c>
      <c r="O132" s="150">
        <f t="shared" si="34"/>
        <v>0</v>
      </c>
      <c r="P132" s="150">
        <f t="shared" si="30"/>
        <v>0</v>
      </c>
      <c r="Q132" s="150">
        <f t="shared" si="31"/>
        <v>0</v>
      </c>
      <c r="R132" s="186">
        <f t="shared" si="32"/>
        <v>0</v>
      </c>
    </row>
    <row r="133" spans="2:18" x14ac:dyDescent="0.35">
      <c r="B133" s="25">
        <v>2025</v>
      </c>
      <c r="C133" s="78">
        <v>7</v>
      </c>
      <c r="D133" s="135">
        <v>0</v>
      </c>
      <c r="E133" s="114">
        <v>0</v>
      </c>
      <c r="F133" s="136">
        <v>0</v>
      </c>
      <c r="G133" s="147">
        <f>INDEX(S1_BaseRefNGNoHydro!C$29:C$44,MATCH($B133,S1_BaseRefNGNoHydro!$B$8:$B$23,0))*INDEX(RefTables!$D$238:$D$249,$C133)*10^6</f>
        <v>7766394.9099292979</v>
      </c>
      <c r="H133" s="34">
        <f>Inputs_AnnualElectric!D160</f>
        <v>25378730</v>
      </c>
      <c r="I133" s="34">
        <f>-INDEX(Inputs_SupplyCurve!$AA$9:$AA$24,MATCH($B133,Inputs_SupplyCurve!$S$9:$S$24,0))*INDEX(RefTables!$D$238:$D$249,$C133)</f>
        <v>-835046.07449715585</v>
      </c>
      <c r="J133" s="34">
        <f t="shared" si="26"/>
        <v>32310078.835432142</v>
      </c>
      <c r="K133" s="149">
        <f t="shared" si="27"/>
        <v>0</v>
      </c>
      <c r="L133" s="150">
        <f t="shared" si="28"/>
        <v>0</v>
      </c>
      <c r="M133" s="150">
        <f t="shared" si="29"/>
        <v>0</v>
      </c>
      <c r="N133" s="150">
        <f t="shared" si="34"/>
        <v>0</v>
      </c>
      <c r="O133" s="150">
        <f t="shared" si="34"/>
        <v>0</v>
      </c>
      <c r="P133" s="150">
        <f t="shared" si="30"/>
        <v>0</v>
      </c>
      <c r="Q133" s="150">
        <f t="shared" si="31"/>
        <v>0</v>
      </c>
      <c r="R133" s="186">
        <f t="shared" si="32"/>
        <v>0</v>
      </c>
    </row>
    <row r="134" spans="2:18" x14ac:dyDescent="0.35">
      <c r="B134" s="25">
        <v>2025</v>
      </c>
      <c r="C134" s="78">
        <v>8</v>
      </c>
      <c r="D134" s="135">
        <v>0</v>
      </c>
      <c r="E134" s="114">
        <v>0</v>
      </c>
      <c r="F134" s="136">
        <v>0</v>
      </c>
      <c r="G134" s="147">
        <f>INDEX(S1_BaseRefNGNoHydro!C$29:C$44,MATCH($B134,S1_BaseRefNGNoHydro!$B$8:$B$23,0))*INDEX(RefTables!$D$238:$D$249,$C134)*10^6</f>
        <v>7922350.4908387</v>
      </c>
      <c r="H134" s="34">
        <f>Inputs_AnnualElectric!D161</f>
        <v>25154360</v>
      </c>
      <c r="I134" s="34">
        <f>-INDEX(Inputs_SupplyCurve!$AA$9:$AA$24,MATCH($B134,Inputs_SupplyCurve!$S$9:$S$24,0))*INDEX(RefTables!$D$238:$D$249,$C134)</f>
        <v>-851814.48469837045</v>
      </c>
      <c r="J134" s="34">
        <f t="shared" si="26"/>
        <v>32224896.006140329</v>
      </c>
      <c r="K134" s="149">
        <f t="shared" si="27"/>
        <v>0</v>
      </c>
      <c r="L134" s="150">
        <f t="shared" si="28"/>
        <v>0</v>
      </c>
      <c r="M134" s="150">
        <f t="shared" si="29"/>
        <v>0</v>
      </c>
      <c r="N134" s="150">
        <f t="shared" si="34"/>
        <v>0</v>
      </c>
      <c r="O134" s="150">
        <f t="shared" si="34"/>
        <v>0</v>
      </c>
      <c r="P134" s="150">
        <f t="shared" si="30"/>
        <v>0</v>
      </c>
      <c r="Q134" s="150">
        <f t="shared" si="31"/>
        <v>0</v>
      </c>
      <c r="R134" s="186">
        <f t="shared" si="32"/>
        <v>0</v>
      </c>
    </row>
    <row r="135" spans="2:18" x14ac:dyDescent="0.35">
      <c r="B135" s="25">
        <v>2025</v>
      </c>
      <c r="C135" s="78">
        <v>9</v>
      </c>
      <c r="D135" s="135">
        <v>0</v>
      </c>
      <c r="E135" s="114">
        <v>0</v>
      </c>
      <c r="F135" s="136">
        <v>0</v>
      </c>
      <c r="G135" s="147">
        <f>INDEX(S1_BaseRefNGNoHydro!C$29:C$44,MATCH($B135,S1_BaseRefNGNoHydro!$B$8:$B$23,0))*INDEX(RefTables!$D$238:$D$249,$C135)*10^6</f>
        <v>9517683.8602768611</v>
      </c>
      <c r="H135" s="34">
        <f>Inputs_AnnualElectric!D162</f>
        <v>19549410</v>
      </c>
      <c r="I135" s="34">
        <f>-INDEX(Inputs_SupplyCurve!$AA$9:$AA$24,MATCH($B135,Inputs_SupplyCurve!$S$9:$S$24,0))*INDEX(RefTables!$D$238:$D$249,$C135)</f>
        <v>-1023345.4051722283</v>
      </c>
      <c r="J135" s="34">
        <f t="shared" ref="J135:J166" si="35">SUM(G135:I135)</f>
        <v>28043748.455104634</v>
      </c>
      <c r="K135" s="149">
        <f t="shared" ref="K135:K166" si="36">$J135*$E135*10^-6</f>
        <v>0</v>
      </c>
      <c r="L135" s="150">
        <f t="shared" ref="L135:L166" si="37">$J135*$D135*10^-6</f>
        <v>0</v>
      </c>
      <c r="M135" s="150">
        <f t="shared" ref="M135:M166" si="38">$J135*$F135*10^-6</f>
        <v>0</v>
      </c>
      <c r="N135" s="150">
        <f t="shared" si="34"/>
        <v>0</v>
      </c>
      <c r="O135" s="150">
        <f t="shared" si="34"/>
        <v>0</v>
      </c>
      <c r="P135" s="150">
        <f t="shared" ref="P135:P166" si="39">$J135*$D135*10^-6</f>
        <v>0</v>
      </c>
      <c r="Q135" s="150">
        <f t="shared" ref="Q135:Q166" si="40">$J135*$F135*10^-6</f>
        <v>0</v>
      </c>
      <c r="R135" s="186">
        <f t="shared" ref="R135:R166" si="41">$J135*$E135*10^-6</f>
        <v>0</v>
      </c>
    </row>
    <row r="136" spans="2:18" x14ac:dyDescent="0.35">
      <c r="B136" s="25">
        <v>2025</v>
      </c>
      <c r="C136" s="78">
        <v>10</v>
      </c>
      <c r="D136" s="135">
        <v>0</v>
      </c>
      <c r="E136" s="114">
        <v>0</v>
      </c>
      <c r="F136" s="136">
        <v>0</v>
      </c>
      <c r="G136" s="147">
        <f>INDEX(S1_BaseRefNGNoHydro!C$29:C$44,MATCH($B136,S1_BaseRefNGNoHydro!$B$8:$B$23,0))*INDEX(RefTables!$D$238:$D$249,$C136)*10^6</f>
        <v>16894849.348764662</v>
      </c>
      <c r="H136" s="34">
        <f>Inputs_AnnualElectric!D163</f>
        <v>18567100</v>
      </c>
      <c r="I136" s="34">
        <f>-INDEX(Inputs_SupplyCurve!$AA$9:$AA$24,MATCH($B136,Inputs_SupplyCurve!$S$9:$S$24,0))*INDEX(RefTables!$D$238:$D$249,$C136)</f>
        <v>-1816541.3672011166</v>
      </c>
      <c r="J136" s="34">
        <f t="shared" si="35"/>
        <v>33645407.981563538</v>
      </c>
      <c r="K136" s="149">
        <f t="shared" si="36"/>
        <v>0</v>
      </c>
      <c r="L136" s="150">
        <f t="shared" si="37"/>
        <v>0</v>
      </c>
      <c r="M136" s="150">
        <f t="shared" si="38"/>
        <v>0</v>
      </c>
      <c r="N136" s="150">
        <f t="shared" si="34"/>
        <v>0</v>
      </c>
      <c r="O136" s="150">
        <f t="shared" si="34"/>
        <v>0</v>
      </c>
      <c r="P136" s="150">
        <f t="shared" si="39"/>
        <v>0</v>
      </c>
      <c r="Q136" s="150">
        <f t="shared" si="40"/>
        <v>0</v>
      </c>
      <c r="R136" s="186">
        <f t="shared" si="41"/>
        <v>0</v>
      </c>
    </row>
    <row r="137" spans="2:18" x14ac:dyDescent="0.35">
      <c r="B137" s="25">
        <v>2025</v>
      </c>
      <c r="C137" s="78">
        <v>11</v>
      </c>
      <c r="D137" s="135">
        <v>-3.2988634361233431</v>
      </c>
      <c r="E137" s="114">
        <v>-3.2988634361233489</v>
      </c>
      <c r="F137" s="136">
        <v>-3.2988634361233444</v>
      </c>
      <c r="G137" s="147">
        <f>INDEX(S1_BaseRefNGNoHydro!C$29:C$44,MATCH($B137,S1_BaseRefNGNoHydro!$B$8:$B$23,0))*INDEX(RefTables!$D$238:$D$249,$C137)*10^6</f>
        <v>26852316.641795073</v>
      </c>
      <c r="H137" s="34">
        <f>Inputs_AnnualElectric!D164</f>
        <v>18083370</v>
      </c>
      <c r="I137" s="34">
        <f>-INDEX(Inputs_SupplyCurve!$AA$9:$AA$24,MATCH($B137,Inputs_SupplyCurve!$S$9:$S$24,0))*INDEX(RefTables!$D$238:$D$249,$C137)</f>
        <v>-2887172.473578189</v>
      </c>
      <c r="J137" s="34">
        <f t="shared" si="35"/>
        <v>42048514.168216877</v>
      </c>
      <c r="K137" s="149">
        <f t="shared" si="36"/>
        <v>-138.71230593284523</v>
      </c>
      <c r="L137" s="150">
        <f t="shared" si="37"/>
        <v>-138.712305932845</v>
      </c>
      <c r="M137" s="150">
        <f t="shared" si="38"/>
        <v>-138.71230593284506</v>
      </c>
      <c r="N137" s="150">
        <f t="shared" si="34"/>
        <v>-138.71230593284523</v>
      </c>
      <c r="O137" s="150">
        <f t="shared" si="34"/>
        <v>-138.71230593284523</v>
      </c>
      <c r="P137" s="150">
        <f t="shared" si="39"/>
        <v>-138.712305932845</v>
      </c>
      <c r="Q137" s="150">
        <f t="shared" si="40"/>
        <v>-138.71230593284506</v>
      </c>
      <c r="R137" s="186">
        <f t="shared" si="41"/>
        <v>-138.71230593284523</v>
      </c>
    </row>
    <row r="138" spans="2:18" x14ac:dyDescent="0.35">
      <c r="B138" s="25">
        <v>2025</v>
      </c>
      <c r="C138" s="78">
        <v>12</v>
      </c>
      <c r="D138" s="135">
        <v>-9.3517344038652865</v>
      </c>
      <c r="E138" s="114">
        <v>-9.3517344038652865</v>
      </c>
      <c r="F138" s="136">
        <v>-9.3517344038652794</v>
      </c>
      <c r="G138" s="147">
        <f>INDEX(S1_BaseRefNGNoHydro!C$29:C$44,MATCH($B138,S1_BaseRefNGNoHydro!$B$8:$B$23,0))*INDEX(RefTables!$D$238:$D$249,$C138)*10^6</f>
        <v>41606515.423193932</v>
      </c>
      <c r="H138" s="34">
        <f>Inputs_AnnualElectric!D165</f>
        <v>21586950</v>
      </c>
      <c r="I138" s="34">
        <f>-INDEX(Inputs_SupplyCurve!$AA$9:$AA$24,MATCH($B138,Inputs_SupplyCurve!$S$9:$S$24,0))*INDEX(RefTables!$D$238:$D$249,$C138)</f>
        <v>-4473550.1839114884</v>
      </c>
      <c r="J138" s="34">
        <f t="shared" si="35"/>
        <v>58719915.239282444</v>
      </c>
      <c r="K138" s="149">
        <f t="shared" si="36"/>
        <v>-549.13305153525107</v>
      </c>
      <c r="L138" s="150">
        <f t="shared" si="37"/>
        <v>-549.13305153525107</v>
      </c>
      <c r="M138" s="150">
        <f t="shared" si="38"/>
        <v>-549.13305153525073</v>
      </c>
      <c r="N138" s="150">
        <f t="shared" si="34"/>
        <v>-549.13305153525107</v>
      </c>
      <c r="O138" s="150">
        <f t="shared" si="34"/>
        <v>-549.13305153525107</v>
      </c>
      <c r="P138" s="150">
        <f t="shared" si="39"/>
        <v>-549.13305153525107</v>
      </c>
      <c r="Q138" s="150">
        <f t="shared" si="40"/>
        <v>-549.13305153525073</v>
      </c>
      <c r="R138" s="186">
        <f t="shared" si="41"/>
        <v>-549.13305153525107</v>
      </c>
    </row>
    <row r="139" spans="2:18" x14ac:dyDescent="0.35">
      <c r="B139" s="25">
        <v>2026</v>
      </c>
      <c r="C139" s="78">
        <v>1</v>
      </c>
      <c r="D139" s="135">
        <v>-19.735024726445932</v>
      </c>
      <c r="E139" s="114">
        <v>-19.735024726445928</v>
      </c>
      <c r="F139" s="136">
        <v>-19.735024726445921</v>
      </c>
      <c r="G139" s="147">
        <f>INDEX(S1_BaseRefNGNoHydro!C$29:C$44,MATCH($B139,S1_BaseRefNGNoHydro!$B$8:$B$23,0))*INDEX(RefTables!$D$238:$D$249,$C139)*10^6</f>
        <v>48323558.619187482</v>
      </c>
      <c r="H139" s="34">
        <f>Inputs_AnnualElectric!D166</f>
        <v>24628490</v>
      </c>
      <c r="I139" s="34">
        <f>-INDEX(Inputs_SupplyCurve!$AA$9:$AA$24,MATCH($B139,Inputs_SupplyCurve!$S$9:$S$24,0))*INDEX(RefTables!$D$238:$D$249,$C139)</f>
        <v>-5287887.245869332</v>
      </c>
      <c r="J139" s="34">
        <f t="shared" si="35"/>
        <v>67664161.373318136</v>
      </c>
      <c r="K139" s="149">
        <f t="shared" si="36"/>
        <v>-1335.3538977966609</v>
      </c>
      <c r="L139" s="150">
        <f t="shared" si="37"/>
        <v>-1335.3538977966612</v>
      </c>
      <c r="M139" s="150">
        <f t="shared" si="38"/>
        <v>-1335.3538977966605</v>
      </c>
      <c r="N139" s="150">
        <f t="shared" si="34"/>
        <v>-1335.3538977966609</v>
      </c>
      <c r="O139" s="150">
        <f t="shared" si="34"/>
        <v>-1335.3538977966609</v>
      </c>
      <c r="P139" s="150">
        <f t="shared" si="39"/>
        <v>-1335.3538977966612</v>
      </c>
      <c r="Q139" s="150">
        <f t="shared" si="40"/>
        <v>-1335.3538977966605</v>
      </c>
      <c r="R139" s="186">
        <f t="shared" si="41"/>
        <v>-1335.3538977966609</v>
      </c>
    </row>
    <row r="140" spans="2:18" x14ac:dyDescent="0.35">
      <c r="B140" s="25">
        <v>2026</v>
      </c>
      <c r="C140" s="78">
        <v>2</v>
      </c>
      <c r="D140" s="135">
        <v>-14.661720578980493</v>
      </c>
      <c r="E140" s="114">
        <v>-14.661720578980486</v>
      </c>
      <c r="F140" s="136">
        <v>-14.661720578980491</v>
      </c>
      <c r="G140" s="147">
        <f>INDEX(S1_BaseRefNGNoHydro!C$29:C$44,MATCH($B140,S1_BaseRefNGNoHydro!$B$8:$B$23,0))*INDEX(RefTables!$D$238:$D$249,$C140)*10^6</f>
        <v>41971254.053948611</v>
      </c>
      <c r="H140" s="34">
        <f>Inputs_AnnualElectric!D167</f>
        <v>20151190</v>
      </c>
      <c r="I140" s="34">
        <f>-INDEX(Inputs_SupplyCurve!$AA$9:$AA$24,MATCH($B140,Inputs_SupplyCurve!$S$9:$S$24,0))*INDEX(RefTables!$D$238:$D$249,$C140)</f>
        <v>-4592775.5601362642</v>
      </c>
      <c r="J140" s="34">
        <f t="shared" si="35"/>
        <v>57529668.493812345</v>
      </c>
      <c r="K140" s="149">
        <f t="shared" si="36"/>
        <v>-843.48392445765376</v>
      </c>
      <c r="L140" s="150">
        <f t="shared" si="37"/>
        <v>-843.4839244576541</v>
      </c>
      <c r="M140" s="150">
        <f t="shared" si="38"/>
        <v>-843.48392445765398</v>
      </c>
      <c r="N140" s="150">
        <f t="shared" si="34"/>
        <v>-843.48392445765376</v>
      </c>
      <c r="O140" s="150">
        <f t="shared" si="34"/>
        <v>-843.48392445765376</v>
      </c>
      <c r="P140" s="150">
        <f t="shared" si="39"/>
        <v>-843.4839244576541</v>
      </c>
      <c r="Q140" s="150">
        <f t="shared" si="40"/>
        <v>-843.48392445765398</v>
      </c>
      <c r="R140" s="186">
        <f t="shared" si="41"/>
        <v>-843.48392445765376</v>
      </c>
    </row>
    <row r="141" spans="2:18" x14ac:dyDescent="0.35">
      <c r="B141" s="25">
        <v>2026</v>
      </c>
      <c r="C141" s="78">
        <v>3</v>
      </c>
      <c r="D141" s="135">
        <v>-10.900927952252381</v>
      </c>
      <c r="E141" s="114">
        <v>-10.900927952252376</v>
      </c>
      <c r="F141" s="136">
        <v>-10.900927952252381</v>
      </c>
      <c r="G141" s="147">
        <f>INDEX(S1_BaseRefNGNoHydro!C$29:C$44,MATCH($B141,S1_BaseRefNGNoHydro!$B$8:$B$23,0))*INDEX(RefTables!$D$238:$D$249,$C141)*10^6</f>
        <v>37591191.883121453</v>
      </c>
      <c r="H141" s="34">
        <f>Inputs_AnnualElectric!D168</f>
        <v>20326020</v>
      </c>
      <c r="I141" s="34">
        <f>-INDEX(Inputs_SupplyCurve!$AA$9:$AA$24,MATCH($B141,Inputs_SupplyCurve!$S$9:$S$24,0))*INDEX(RefTables!$D$238:$D$249,$C141)</f>
        <v>-4113479.8387314421</v>
      </c>
      <c r="J141" s="34">
        <f t="shared" si="35"/>
        <v>53803732.044390008</v>
      </c>
      <c r="K141" s="149">
        <f t="shared" si="36"/>
        <v>-586.51060657818789</v>
      </c>
      <c r="L141" s="150">
        <f t="shared" si="37"/>
        <v>-586.51060657818812</v>
      </c>
      <c r="M141" s="150">
        <f t="shared" si="38"/>
        <v>-586.51060657818812</v>
      </c>
      <c r="N141" s="150">
        <f t="shared" si="34"/>
        <v>-586.51060657818789</v>
      </c>
      <c r="O141" s="150">
        <f t="shared" si="34"/>
        <v>-586.51060657818789</v>
      </c>
      <c r="P141" s="150">
        <f t="shared" si="39"/>
        <v>-586.51060657818812</v>
      </c>
      <c r="Q141" s="150">
        <f t="shared" si="40"/>
        <v>-586.51060657818812</v>
      </c>
      <c r="R141" s="186">
        <f t="shared" si="41"/>
        <v>-586.51060657818789</v>
      </c>
    </row>
    <row r="142" spans="2:18" x14ac:dyDescent="0.35">
      <c r="B142" s="25">
        <v>2026</v>
      </c>
      <c r="C142" s="78">
        <v>4</v>
      </c>
      <c r="D142" s="135">
        <v>0</v>
      </c>
      <c r="E142" s="114">
        <v>0</v>
      </c>
      <c r="F142" s="136">
        <v>0</v>
      </c>
      <c r="G142" s="147">
        <f>INDEX(S1_BaseRefNGNoHydro!C$29:C$44,MATCH($B142,S1_BaseRefNGNoHydro!$B$8:$B$23,0))*INDEX(RefTables!$D$238:$D$249,$C142)*10^6</f>
        <v>24391283.879249044</v>
      </c>
      <c r="H142" s="34">
        <f>Inputs_AnnualElectric!D169</f>
        <v>18380920</v>
      </c>
      <c r="I142" s="34">
        <f>-INDEX(Inputs_SupplyCurve!$AA$9:$AA$24,MATCH($B142,Inputs_SupplyCurve!$S$9:$S$24,0))*INDEX(RefTables!$D$238:$D$249,$C142)</f>
        <v>-2669057.5491732676</v>
      </c>
      <c r="J142" s="34">
        <f t="shared" si="35"/>
        <v>40103146.330075778</v>
      </c>
      <c r="K142" s="149">
        <f t="shared" si="36"/>
        <v>0</v>
      </c>
      <c r="L142" s="150">
        <f t="shared" si="37"/>
        <v>0</v>
      </c>
      <c r="M142" s="150">
        <f t="shared" si="38"/>
        <v>0</v>
      </c>
      <c r="N142" s="150">
        <f t="shared" si="34"/>
        <v>0</v>
      </c>
      <c r="O142" s="150">
        <f t="shared" si="34"/>
        <v>0</v>
      </c>
      <c r="P142" s="150">
        <f t="shared" si="39"/>
        <v>0</v>
      </c>
      <c r="Q142" s="150">
        <f t="shared" si="40"/>
        <v>0</v>
      </c>
      <c r="R142" s="186">
        <f t="shared" si="41"/>
        <v>0</v>
      </c>
    </row>
    <row r="143" spans="2:18" x14ac:dyDescent="0.35">
      <c r="B143" s="25">
        <v>2026</v>
      </c>
      <c r="C143" s="78">
        <v>5</v>
      </c>
      <c r="D143" s="135">
        <v>0</v>
      </c>
      <c r="E143" s="114">
        <v>0</v>
      </c>
      <c r="F143" s="136">
        <v>0</v>
      </c>
      <c r="G143" s="147">
        <f>INDEX(S1_BaseRefNGNoHydro!C$29:C$44,MATCH($B143,S1_BaseRefNGNoHydro!$B$8:$B$23,0))*INDEX(RefTables!$D$238:$D$249,$C143)*10^6</f>
        <v>14527295.581421256</v>
      </c>
      <c r="H143" s="34">
        <f>Inputs_AnnualElectric!D170</f>
        <v>16570640</v>
      </c>
      <c r="I143" s="34">
        <f>-INDEX(Inputs_SupplyCurve!$AA$9:$AA$24,MATCH($B143,Inputs_SupplyCurve!$S$9:$S$24,0))*INDEX(RefTables!$D$238:$D$249,$C143)</f>
        <v>-1589673.9233825698</v>
      </c>
      <c r="J143" s="34">
        <f t="shared" si="35"/>
        <v>29508261.658038687</v>
      </c>
      <c r="K143" s="149">
        <f t="shared" si="36"/>
        <v>0</v>
      </c>
      <c r="L143" s="150">
        <f t="shared" si="37"/>
        <v>0</v>
      </c>
      <c r="M143" s="150">
        <f t="shared" si="38"/>
        <v>0</v>
      </c>
      <c r="N143" s="150">
        <f t="shared" si="34"/>
        <v>0</v>
      </c>
      <c r="O143" s="150">
        <f t="shared" si="34"/>
        <v>0</v>
      </c>
      <c r="P143" s="150">
        <f t="shared" si="39"/>
        <v>0</v>
      </c>
      <c r="Q143" s="150">
        <f t="shared" si="40"/>
        <v>0</v>
      </c>
      <c r="R143" s="186">
        <f t="shared" si="41"/>
        <v>0</v>
      </c>
    </row>
    <row r="144" spans="2:18" x14ac:dyDescent="0.35">
      <c r="B144" s="25">
        <v>2026</v>
      </c>
      <c r="C144" s="78">
        <v>6</v>
      </c>
      <c r="D144" s="135">
        <v>0</v>
      </c>
      <c r="E144" s="114">
        <v>0</v>
      </c>
      <c r="F144" s="136">
        <v>0</v>
      </c>
      <c r="G144" s="147">
        <f>INDEX(S1_BaseRefNGNoHydro!C$29:C$44,MATCH($B144,S1_BaseRefNGNoHydro!$B$8:$B$23,0))*INDEX(RefTables!$D$238:$D$249,$C144)*10^6</f>
        <v>9284981.7351068594</v>
      </c>
      <c r="H144" s="34">
        <f>Inputs_AnnualElectric!D171</f>
        <v>20007740</v>
      </c>
      <c r="I144" s="34">
        <f>-INDEX(Inputs_SupplyCurve!$AA$9:$AA$24,MATCH($B144,Inputs_SupplyCurve!$S$9:$S$24,0))*INDEX(RefTables!$D$238:$D$249,$C144)</f>
        <v>-1016024.8520212729</v>
      </c>
      <c r="J144" s="34">
        <f t="shared" si="35"/>
        <v>28276696.883085586</v>
      </c>
      <c r="K144" s="149">
        <f t="shared" si="36"/>
        <v>0</v>
      </c>
      <c r="L144" s="150">
        <f t="shared" si="37"/>
        <v>0</v>
      </c>
      <c r="M144" s="150">
        <f t="shared" si="38"/>
        <v>0</v>
      </c>
      <c r="N144" s="150">
        <f t="shared" si="34"/>
        <v>0</v>
      </c>
      <c r="O144" s="150">
        <f t="shared" si="34"/>
        <v>0</v>
      </c>
      <c r="P144" s="150">
        <f t="shared" si="39"/>
        <v>0</v>
      </c>
      <c r="Q144" s="150">
        <f t="shared" si="40"/>
        <v>0</v>
      </c>
      <c r="R144" s="186">
        <f t="shared" si="41"/>
        <v>0</v>
      </c>
    </row>
    <row r="145" spans="2:18" x14ac:dyDescent="0.35">
      <c r="B145" s="25">
        <v>2026</v>
      </c>
      <c r="C145" s="78">
        <v>7</v>
      </c>
      <c r="D145" s="135">
        <v>0</v>
      </c>
      <c r="E145" s="114">
        <v>0</v>
      </c>
      <c r="F145" s="136">
        <v>0</v>
      </c>
      <c r="G145" s="147">
        <f>INDEX(S1_BaseRefNGNoHydro!C$29:C$44,MATCH($B145,S1_BaseRefNGNoHydro!$B$8:$B$23,0))*INDEX(RefTables!$D$238:$D$249,$C145)*10^6</f>
        <v>7804436.8140604859</v>
      </c>
      <c r="H145" s="34">
        <f>Inputs_AnnualElectric!D172</f>
        <v>25489980</v>
      </c>
      <c r="I145" s="34">
        <f>-INDEX(Inputs_SupplyCurve!$AA$9:$AA$24,MATCH($B145,Inputs_SupplyCurve!$S$9:$S$24,0))*INDEX(RefTables!$D$238:$D$249,$C145)</f>
        <v>-854013.71648728615</v>
      </c>
      <c r="J145" s="34">
        <f t="shared" si="35"/>
        <v>32440403.097573202</v>
      </c>
      <c r="K145" s="149">
        <f t="shared" si="36"/>
        <v>0</v>
      </c>
      <c r="L145" s="150">
        <f t="shared" si="37"/>
        <v>0</v>
      </c>
      <c r="M145" s="150">
        <f t="shared" si="38"/>
        <v>0</v>
      </c>
      <c r="N145" s="150">
        <f t="shared" si="34"/>
        <v>0</v>
      </c>
      <c r="O145" s="150">
        <f t="shared" si="34"/>
        <v>0</v>
      </c>
      <c r="P145" s="150">
        <f t="shared" si="39"/>
        <v>0</v>
      </c>
      <c r="Q145" s="150">
        <f t="shared" si="40"/>
        <v>0</v>
      </c>
      <c r="R145" s="186">
        <f t="shared" si="41"/>
        <v>0</v>
      </c>
    </row>
    <row r="146" spans="2:18" x14ac:dyDescent="0.35">
      <c r="B146" s="25">
        <v>2026</v>
      </c>
      <c r="C146" s="78">
        <v>8</v>
      </c>
      <c r="D146" s="135">
        <v>0</v>
      </c>
      <c r="E146" s="114">
        <v>0</v>
      </c>
      <c r="F146" s="136">
        <v>0</v>
      </c>
      <c r="G146" s="147">
        <f>INDEX(S1_BaseRefNGNoHydro!C$29:C$44,MATCH($B146,S1_BaseRefNGNoHydro!$B$8:$B$23,0))*INDEX(RefTables!$D$238:$D$249,$C146)*10^6</f>
        <v>7961156.3076123027</v>
      </c>
      <c r="H146" s="34">
        <f>Inputs_AnnualElectric!D173</f>
        <v>25212140</v>
      </c>
      <c r="I146" s="34">
        <f>-INDEX(Inputs_SupplyCurve!$AA$9:$AA$24,MATCH($B146,Inputs_SupplyCurve!$S$9:$S$24,0))*INDEX(RefTables!$D$238:$D$249,$C146)</f>
        <v>-871163.01249966014</v>
      </c>
      <c r="J146" s="34">
        <f t="shared" si="35"/>
        <v>32302133.295112643</v>
      </c>
      <c r="K146" s="149">
        <f t="shared" si="36"/>
        <v>0</v>
      </c>
      <c r="L146" s="150">
        <f t="shared" si="37"/>
        <v>0</v>
      </c>
      <c r="M146" s="150">
        <f t="shared" si="38"/>
        <v>0</v>
      </c>
      <c r="N146" s="150">
        <f t="shared" si="34"/>
        <v>0</v>
      </c>
      <c r="O146" s="150">
        <f t="shared" si="34"/>
        <v>0</v>
      </c>
      <c r="P146" s="150">
        <f t="shared" si="39"/>
        <v>0</v>
      </c>
      <c r="Q146" s="150">
        <f t="shared" si="40"/>
        <v>0</v>
      </c>
      <c r="R146" s="186">
        <f t="shared" si="41"/>
        <v>0</v>
      </c>
    </row>
    <row r="147" spans="2:18" x14ac:dyDescent="0.35">
      <c r="B147" s="25">
        <v>2026</v>
      </c>
      <c r="C147" s="78">
        <v>9</v>
      </c>
      <c r="D147" s="135">
        <v>0</v>
      </c>
      <c r="E147" s="114">
        <v>0</v>
      </c>
      <c r="F147" s="136">
        <v>0</v>
      </c>
      <c r="G147" s="147">
        <f>INDEX(S1_BaseRefNGNoHydro!C$29:C$44,MATCH($B147,S1_BaseRefNGNoHydro!$B$8:$B$23,0))*INDEX(RefTables!$D$238:$D$249,$C147)*10^6</f>
        <v>9564304.0516478531</v>
      </c>
      <c r="H147" s="34">
        <f>Inputs_AnnualElectric!D174</f>
        <v>20341780</v>
      </c>
      <c r="I147" s="34">
        <f>-INDEX(Inputs_SupplyCurve!$AA$9:$AA$24,MATCH($B147,Inputs_SupplyCurve!$S$9:$S$24,0))*INDEX(RefTables!$D$238:$D$249,$C147)</f>
        <v>-1046590.1695874615</v>
      </c>
      <c r="J147" s="34">
        <f t="shared" si="35"/>
        <v>28859493.88206039</v>
      </c>
      <c r="K147" s="149">
        <f t="shared" si="36"/>
        <v>0</v>
      </c>
      <c r="L147" s="150">
        <f t="shared" si="37"/>
        <v>0</v>
      </c>
      <c r="M147" s="150">
        <f t="shared" si="38"/>
        <v>0</v>
      </c>
      <c r="N147" s="150">
        <f t="shared" ref="N147:O166" si="42">$J147*$E147*10^-6</f>
        <v>0</v>
      </c>
      <c r="O147" s="150">
        <f t="shared" si="42"/>
        <v>0</v>
      </c>
      <c r="P147" s="150">
        <f t="shared" si="39"/>
        <v>0</v>
      </c>
      <c r="Q147" s="150">
        <f t="shared" si="40"/>
        <v>0</v>
      </c>
      <c r="R147" s="186">
        <f t="shared" si="41"/>
        <v>0</v>
      </c>
    </row>
    <row r="148" spans="2:18" x14ac:dyDescent="0.35">
      <c r="B148" s="25">
        <v>2026</v>
      </c>
      <c r="C148" s="78">
        <v>10</v>
      </c>
      <c r="D148" s="135">
        <v>0</v>
      </c>
      <c r="E148" s="114">
        <v>0</v>
      </c>
      <c r="F148" s="136">
        <v>0</v>
      </c>
      <c r="G148" s="147">
        <f>INDEX(S1_BaseRefNGNoHydro!C$29:C$44,MATCH($B148,S1_BaseRefNGNoHydro!$B$8:$B$23,0))*INDEX(RefTables!$D$238:$D$249,$C148)*10^6</f>
        <v>16977604.893221315</v>
      </c>
      <c r="H148" s="34">
        <f>Inputs_AnnualElectric!D175</f>
        <v>22101780</v>
      </c>
      <c r="I148" s="34">
        <f>-INDEX(Inputs_SupplyCurve!$AA$9:$AA$24,MATCH($B148,Inputs_SupplyCurve!$S$9:$S$24,0))*INDEX(RefTables!$D$238:$D$249,$C148)</f>
        <v>-1857803.1698316853</v>
      </c>
      <c r="J148" s="34">
        <f t="shared" si="35"/>
        <v>37221581.723389633</v>
      </c>
      <c r="K148" s="149">
        <f t="shared" si="36"/>
        <v>0</v>
      </c>
      <c r="L148" s="150">
        <f t="shared" si="37"/>
        <v>0</v>
      </c>
      <c r="M148" s="150">
        <f t="shared" si="38"/>
        <v>0</v>
      </c>
      <c r="N148" s="150">
        <f t="shared" si="42"/>
        <v>0</v>
      </c>
      <c r="O148" s="150">
        <f t="shared" si="42"/>
        <v>0</v>
      </c>
      <c r="P148" s="150">
        <f t="shared" si="39"/>
        <v>0</v>
      </c>
      <c r="Q148" s="150">
        <f t="shared" si="40"/>
        <v>0</v>
      </c>
      <c r="R148" s="186">
        <f t="shared" si="41"/>
        <v>0</v>
      </c>
    </row>
    <row r="149" spans="2:18" x14ac:dyDescent="0.35">
      <c r="B149" s="25">
        <v>2026</v>
      </c>
      <c r="C149" s="78">
        <v>11</v>
      </c>
      <c r="D149" s="135">
        <v>-3.2988634361233458</v>
      </c>
      <c r="E149" s="114">
        <v>-3.2988634361233506</v>
      </c>
      <c r="F149" s="136">
        <v>-3.2988634361233453</v>
      </c>
      <c r="G149" s="147">
        <f>INDEX(S1_BaseRefNGNoHydro!C$29:C$44,MATCH($B149,S1_BaseRefNGNoHydro!$B$8:$B$23,0))*INDEX(RefTables!$D$238:$D$249,$C149)*10^6</f>
        <v>26983846.555897366</v>
      </c>
      <c r="H149" s="34">
        <f>Inputs_AnnualElectric!D176</f>
        <v>20123820</v>
      </c>
      <c r="I149" s="34">
        <f>-INDEX(Inputs_SupplyCurve!$AA$9:$AA$24,MATCH($B149,Inputs_SupplyCurve!$S$9:$S$24,0))*INDEX(RefTables!$D$238:$D$249,$C149)</f>
        <v>-2952753.1110005812</v>
      </c>
      <c r="J149" s="34">
        <f t="shared" si="35"/>
        <v>44154913.444896787</v>
      </c>
      <c r="K149" s="149">
        <f t="shared" si="36"/>
        <v>-145.66102948856135</v>
      </c>
      <c r="L149" s="150">
        <f t="shared" si="37"/>
        <v>-145.66102948856113</v>
      </c>
      <c r="M149" s="150">
        <f t="shared" si="38"/>
        <v>-145.66102948856113</v>
      </c>
      <c r="N149" s="150">
        <f t="shared" si="42"/>
        <v>-145.66102948856135</v>
      </c>
      <c r="O149" s="150">
        <f t="shared" si="42"/>
        <v>-145.66102948856135</v>
      </c>
      <c r="P149" s="150">
        <f t="shared" si="39"/>
        <v>-145.66102948856113</v>
      </c>
      <c r="Q149" s="150">
        <f t="shared" si="40"/>
        <v>-145.66102948856113</v>
      </c>
      <c r="R149" s="186">
        <f t="shared" si="41"/>
        <v>-145.66102948856135</v>
      </c>
    </row>
    <row r="150" spans="2:18" x14ac:dyDescent="0.35">
      <c r="B150" s="25">
        <v>2026</v>
      </c>
      <c r="C150" s="78">
        <v>12</v>
      </c>
      <c r="D150" s="135">
        <v>-9.3517344038652865</v>
      </c>
      <c r="E150" s="114">
        <v>-9.3517344038652865</v>
      </c>
      <c r="F150" s="136">
        <v>-9.3517344038652865</v>
      </c>
      <c r="G150" s="147">
        <f>INDEX(S1_BaseRefNGNoHydro!C$29:C$44,MATCH($B150,S1_BaseRefNGNoHydro!$B$8:$B$23,0))*INDEX(RefTables!$D$238:$D$249,$C150)*10^6</f>
        <v>41810315.39593783</v>
      </c>
      <c r="H150" s="34">
        <f>Inputs_AnnualElectric!D177</f>
        <v>21442390</v>
      </c>
      <c r="I150" s="34">
        <f>-INDEX(Inputs_SupplyCurve!$AA$9:$AA$24,MATCH($B150,Inputs_SupplyCurve!$S$9:$S$24,0))*INDEX(RefTables!$D$238:$D$249,$C150)</f>
        <v>-4575164.5749071119</v>
      </c>
      <c r="J150" s="34">
        <f t="shared" si="35"/>
        <v>58677540.821030721</v>
      </c>
      <c r="K150" s="149">
        <f t="shared" si="36"/>
        <v>-548.73677723024275</v>
      </c>
      <c r="L150" s="150">
        <f t="shared" si="37"/>
        <v>-548.73677723024275</v>
      </c>
      <c r="M150" s="150">
        <f t="shared" si="38"/>
        <v>-548.73677723024275</v>
      </c>
      <c r="N150" s="150">
        <f t="shared" si="42"/>
        <v>-548.73677723024275</v>
      </c>
      <c r="O150" s="150">
        <f t="shared" si="42"/>
        <v>-548.73677723024275</v>
      </c>
      <c r="P150" s="150">
        <f t="shared" si="39"/>
        <v>-548.73677723024275</v>
      </c>
      <c r="Q150" s="150">
        <f t="shared" si="40"/>
        <v>-548.73677723024275</v>
      </c>
      <c r="R150" s="186">
        <f t="shared" si="41"/>
        <v>-548.73677723024275</v>
      </c>
    </row>
    <row r="151" spans="2:18" x14ac:dyDescent="0.35">
      <c r="B151" s="25">
        <v>2027</v>
      </c>
      <c r="C151" s="78">
        <v>1</v>
      </c>
      <c r="D151" s="135">
        <v>-19.735024726445928</v>
      </c>
      <c r="E151" s="114">
        <v>-19.735024726445932</v>
      </c>
      <c r="F151" s="136">
        <v>-19.735024726445921</v>
      </c>
      <c r="G151" s="147">
        <f>INDEX(S1_BaseRefNGNoHydro!C$29:C$44,MATCH($B151,S1_BaseRefNGNoHydro!$B$8:$B$23,0))*INDEX(RefTables!$D$238:$D$249,$C151)*10^6</f>
        <v>48560284.449533336</v>
      </c>
      <c r="H151" s="34">
        <f>Inputs_AnnualElectric!D178</f>
        <v>25088730</v>
      </c>
      <c r="I151" s="34">
        <f>-INDEX(Inputs_SupplyCurve!$AA$9:$AA$24,MATCH($B151,Inputs_SupplyCurve!$S$9:$S$24,0))*INDEX(RefTables!$D$238:$D$249,$C151)</f>
        <v>-5351348.6416564733</v>
      </c>
      <c r="J151" s="34">
        <f t="shared" si="35"/>
        <v>68297665.80787687</v>
      </c>
      <c r="K151" s="149">
        <f t="shared" si="36"/>
        <v>-1347.8561234769909</v>
      </c>
      <c r="L151" s="150">
        <f t="shared" si="37"/>
        <v>-1347.8561234769907</v>
      </c>
      <c r="M151" s="150">
        <f t="shared" si="38"/>
        <v>-1347.8561234769902</v>
      </c>
      <c r="N151" s="150">
        <f t="shared" si="42"/>
        <v>-1347.8561234769909</v>
      </c>
      <c r="O151" s="150">
        <f t="shared" si="42"/>
        <v>-1347.8561234769909</v>
      </c>
      <c r="P151" s="150">
        <f t="shared" si="39"/>
        <v>-1347.8561234769907</v>
      </c>
      <c r="Q151" s="150">
        <f t="shared" si="40"/>
        <v>-1347.8561234769902</v>
      </c>
      <c r="R151" s="186">
        <f t="shared" si="41"/>
        <v>-1347.8561234769909</v>
      </c>
    </row>
    <row r="152" spans="2:18" x14ac:dyDescent="0.35">
      <c r="B152" s="25">
        <v>2027</v>
      </c>
      <c r="C152" s="78">
        <v>2</v>
      </c>
      <c r="D152" s="135">
        <v>-14.661720578980489</v>
      </c>
      <c r="E152" s="114">
        <v>-14.661720578980489</v>
      </c>
      <c r="F152" s="136">
        <v>-14.661720578980491</v>
      </c>
      <c r="G152" s="147">
        <f>INDEX(S1_BaseRefNGNoHydro!C$29:C$44,MATCH($B152,S1_BaseRefNGNoHydro!$B$8:$B$23,0))*INDEX(RefTables!$D$238:$D$249,$C152)*10^6</f>
        <v>42176861.427463375</v>
      </c>
      <c r="H152" s="34">
        <f>Inputs_AnnualElectric!D179</f>
        <v>20546720</v>
      </c>
      <c r="I152" s="34">
        <f>-INDEX(Inputs_SupplyCurve!$AA$9:$AA$24,MATCH($B152,Inputs_SupplyCurve!$S$9:$S$24,0))*INDEX(RefTables!$D$238:$D$249,$C152)</f>
        <v>-4647894.7285358924</v>
      </c>
      <c r="J152" s="34">
        <f t="shared" si="35"/>
        <v>58075686.698927484</v>
      </c>
      <c r="K152" s="149">
        <f t="shared" si="36"/>
        <v>-851.48949081208855</v>
      </c>
      <c r="L152" s="150">
        <f t="shared" si="37"/>
        <v>-851.48949081208855</v>
      </c>
      <c r="M152" s="150">
        <f t="shared" si="38"/>
        <v>-851.48949081208866</v>
      </c>
      <c r="N152" s="150">
        <f t="shared" si="42"/>
        <v>-851.48949081208855</v>
      </c>
      <c r="O152" s="150">
        <f t="shared" si="42"/>
        <v>-851.48949081208855</v>
      </c>
      <c r="P152" s="150">
        <f t="shared" si="39"/>
        <v>-851.48949081208855</v>
      </c>
      <c r="Q152" s="150">
        <f t="shared" si="40"/>
        <v>-851.48949081208866</v>
      </c>
      <c r="R152" s="186">
        <f t="shared" si="41"/>
        <v>-851.48949081208855</v>
      </c>
    </row>
    <row r="153" spans="2:18" x14ac:dyDescent="0.35">
      <c r="B153" s="25">
        <v>2027</v>
      </c>
      <c r="C153" s="78">
        <v>3</v>
      </c>
      <c r="D153" s="135">
        <v>-10.900927952252388</v>
      </c>
      <c r="E153" s="114">
        <v>-10.900927952252381</v>
      </c>
      <c r="F153" s="136">
        <v>-10.900927952252392</v>
      </c>
      <c r="G153" s="147">
        <f>INDEX(S1_BaseRefNGNoHydro!C$29:C$44,MATCH($B153,S1_BaseRefNGNoHydro!$B$8:$B$23,0))*INDEX(RefTables!$D$238:$D$249,$C153)*10^6</f>
        <v>37775342.354785785</v>
      </c>
      <c r="H153" s="34">
        <f>Inputs_AnnualElectric!D180</f>
        <v>19841320</v>
      </c>
      <c r="I153" s="34">
        <f>-INDEX(Inputs_SupplyCurve!$AA$9:$AA$24,MATCH($B153,Inputs_SupplyCurve!$S$9:$S$24,0))*INDEX(RefTables!$D$238:$D$249,$C153)</f>
        <v>-4162846.8467575833</v>
      </c>
      <c r="J153" s="34">
        <f t="shared" si="35"/>
        <v>53453815.508028202</v>
      </c>
      <c r="K153" s="149">
        <f t="shared" si="36"/>
        <v>-582.69619162600645</v>
      </c>
      <c r="L153" s="150">
        <f t="shared" si="37"/>
        <v>-582.69619162600679</v>
      </c>
      <c r="M153" s="150">
        <f t="shared" si="38"/>
        <v>-582.69619162600691</v>
      </c>
      <c r="N153" s="150">
        <f t="shared" si="42"/>
        <v>-582.69619162600645</v>
      </c>
      <c r="O153" s="150">
        <f t="shared" si="42"/>
        <v>-582.69619162600645</v>
      </c>
      <c r="P153" s="150">
        <f t="shared" si="39"/>
        <v>-582.69619162600679</v>
      </c>
      <c r="Q153" s="150">
        <f t="shared" si="40"/>
        <v>-582.69619162600691</v>
      </c>
      <c r="R153" s="186">
        <f t="shared" si="41"/>
        <v>-582.69619162600645</v>
      </c>
    </row>
    <row r="154" spans="2:18" x14ac:dyDescent="0.35">
      <c r="B154" s="25">
        <v>2027</v>
      </c>
      <c r="C154" s="78">
        <v>4</v>
      </c>
      <c r="D154" s="135">
        <v>0</v>
      </c>
      <c r="E154" s="114">
        <v>0</v>
      </c>
      <c r="F154" s="136">
        <v>0</v>
      </c>
      <c r="G154" s="147">
        <f>INDEX(S1_BaseRefNGNoHydro!C$29:C$44,MATCH($B154,S1_BaseRefNGNoHydro!$B$8:$B$23,0))*INDEX(RefTables!$D$238:$D$249,$C154)*10^6</f>
        <v>24510771.083720446</v>
      </c>
      <c r="H154" s="34">
        <f>Inputs_AnnualElectric!D181</f>
        <v>16977050</v>
      </c>
      <c r="I154" s="34">
        <f>-INDEX(Inputs_SupplyCurve!$AA$9:$AA$24,MATCH($B154,Inputs_SupplyCurve!$S$9:$S$24,0))*INDEX(RefTables!$D$238:$D$249,$C154)</f>
        <v>-2701089.6462341598</v>
      </c>
      <c r="J154" s="34">
        <f t="shared" si="35"/>
        <v>38786731.437486283</v>
      </c>
      <c r="K154" s="149">
        <f t="shared" si="36"/>
        <v>0</v>
      </c>
      <c r="L154" s="150">
        <f t="shared" si="37"/>
        <v>0</v>
      </c>
      <c r="M154" s="150">
        <f t="shared" si="38"/>
        <v>0</v>
      </c>
      <c r="N154" s="150">
        <f t="shared" si="42"/>
        <v>0</v>
      </c>
      <c r="O154" s="150">
        <f t="shared" si="42"/>
        <v>0</v>
      </c>
      <c r="P154" s="150">
        <f t="shared" si="39"/>
        <v>0</v>
      </c>
      <c r="Q154" s="150">
        <f t="shared" si="40"/>
        <v>0</v>
      </c>
      <c r="R154" s="186">
        <f t="shared" si="41"/>
        <v>0</v>
      </c>
    </row>
    <row r="155" spans="2:18" x14ac:dyDescent="0.35">
      <c r="B155" s="25">
        <v>2027</v>
      </c>
      <c r="C155" s="78">
        <v>5</v>
      </c>
      <c r="D155" s="135">
        <v>0</v>
      </c>
      <c r="E155" s="114">
        <v>0</v>
      </c>
      <c r="F155" s="136">
        <v>0</v>
      </c>
      <c r="G155" s="147">
        <f>INDEX(S1_BaseRefNGNoHydro!C$29:C$44,MATCH($B155,S1_BaseRefNGNoHydro!$B$8:$B$23,0))*INDEX(RefTables!$D$238:$D$249,$C155)*10^6</f>
        <v>14598461.410417678</v>
      </c>
      <c r="H155" s="34">
        <f>Inputs_AnnualElectric!D182</f>
        <v>18166710</v>
      </c>
      <c r="I155" s="34">
        <f>-INDEX(Inputs_SupplyCurve!$AA$9:$AA$24,MATCH($B155,Inputs_SupplyCurve!$S$9:$S$24,0))*INDEX(RefTables!$D$238:$D$249,$C155)</f>
        <v>-1608752.0393357957</v>
      </c>
      <c r="J155" s="34">
        <f t="shared" si="35"/>
        <v>31156419.371081881</v>
      </c>
      <c r="K155" s="149">
        <f t="shared" si="36"/>
        <v>0</v>
      </c>
      <c r="L155" s="150">
        <f t="shared" si="37"/>
        <v>0</v>
      </c>
      <c r="M155" s="150">
        <f t="shared" si="38"/>
        <v>0</v>
      </c>
      <c r="N155" s="150">
        <f t="shared" si="42"/>
        <v>0</v>
      </c>
      <c r="O155" s="150">
        <f t="shared" si="42"/>
        <v>0</v>
      </c>
      <c r="P155" s="150">
        <f t="shared" si="39"/>
        <v>0</v>
      </c>
      <c r="Q155" s="150">
        <f t="shared" si="40"/>
        <v>0</v>
      </c>
      <c r="R155" s="186">
        <f t="shared" si="41"/>
        <v>0</v>
      </c>
    </row>
    <row r="156" spans="2:18" x14ac:dyDescent="0.35">
      <c r="B156" s="25">
        <v>2027</v>
      </c>
      <c r="C156" s="78">
        <v>6</v>
      </c>
      <c r="D156" s="135">
        <v>0</v>
      </c>
      <c r="E156" s="114">
        <v>0</v>
      </c>
      <c r="F156" s="136">
        <v>0</v>
      </c>
      <c r="G156" s="147">
        <f>INDEX(S1_BaseRefNGNoHydro!C$29:C$44,MATCH($B156,S1_BaseRefNGNoHydro!$B$8:$B$23,0))*INDEX(RefTables!$D$238:$D$249,$C156)*10^6</f>
        <v>9330466.6926264521</v>
      </c>
      <c r="H156" s="34">
        <f>Inputs_AnnualElectric!D183</f>
        <v>20329840</v>
      </c>
      <c r="I156" s="34">
        <f>-INDEX(Inputs_SupplyCurve!$AA$9:$AA$24,MATCH($B156,Inputs_SupplyCurve!$S$9:$S$24,0))*INDEX(RefTables!$D$238:$D$249,$C156)</f>
        <v>-1028218.4469800272</v>
      </c>
      <c r="J156" s="34">
        <f t="shared" si="35"/>
        <v>28632088.245646428</v>
      </c>
      <c r="K156" s="149">
        <f t="shared" si="36"/>
        <v>0</v>
      </c>
      <c r="L156" s="150">
        <f t="shared" si="37"/>
        <v>0</v>
      </c>
      <c r="M156" s="150">
        <f t="shared" si="38"/>
        <v>0</v>
      </c>
      <c r="N156" s="150">
        <f t="shared" si="42"/>
        <v>0</v>
      </c>
      <c r="O156" s="150">
        <f t="shared" si="42"/>
        <v>0</v>
      </c>
      <c r="P156" s="150">
        <f t="shared" si="39"/>
        <v>0</v>
      </c>
      <c r="Q156" s="150">
        <f t="shared" si="40"/>
        <v>0</v>
      </c>
      <c r="R156" s="186">
        <f t="shared" si="41"/>
        <v>0</v>
      </c>
    </row>
    <row r="157" spans="2:18" x14ac:dyDescent="0.35">
      <c r="B157" s="25">
        <v>2027</v>
      </c>
      <c r="C157" s="78">
        <v>7</v>
      </c>
      <c r="D157" s="135">
        <v>0</v>
      </c>
      <c r="E157" s="114">
        <v>0</v>
      </c>
      <c r="F157" s="136">
        <v>0</v>
      </c>
      <c r="G157" s="147">
        <f>INDEX(S1_BaseRefNGNoHydro!C$29:C$44,MATCH($B157,S1_BaseRefNGNoHydro!$B$8:$B$23,0))*INDEX(RefTables!$D$238:$D$249,$C157)*10^6</f>
        <v>7842668.9277123278</v>
      </c>
      <c r="H157" s="34">
        <f>Inputs_AnnualElectric!D184</f>
        <v>25488030</v>
      </c>
      <c r="I157" s="34">
        <f>-INDEX(Inputs_SupplyCurve!$AA$9:$AA$24,MATCH($B157,Inputs_SupplyCurve!$S$9:$S$24,0))*INDEX(RefTables!$D$238:$D$249,$C157)</f>
        <v>-864262.97104769363</v>
      </c>
      <c r="J157" s="34">
        <f t="shared" si="35"/>
        <v>32466435.956664637</v>
      </c>
      <c r="K157" s="149">
        <f t="shared" si="36"/>
        <v>0</v>
      </c>
      <c r="L157" s="150">
        <f t="shared" si="37"/>
        <v>0</v>
      </c>
      <c r="M157" s="150">
        <f t="shared" si="38"/>
        <v>0</v>
      </c>
      <c r="N157" s="150">
        <f t="shared" si="42"/>
        <v>0</v>
      </c>
      <c r="O157" s="150">
        <f t="shared" si="42"/>
        <v>0</v>
      </c>
      <c r="P157" s="150">
        <f t="shared" si="39"/>
        <v>0</v>
      </c>
      <c r="Q157" s="150">
        <f t="shared" si="40"/>
        <v>0</v>
      </c>
      <c r="R157" s="186">
        <f t="shared" si="41"/>
        <v>0</v>
      </c>
    </row>
    <row r="158" spans="2:18" x14ac:dyDescent="0.35">
      <c r="B158" s="25">
        <v>2027</v>
      </c>
      <c r="C158" s="78">
        <v>8</v>
      </c>
      <c r="D158" s="135">
        <v>0</v>
      </c>
      <c r="E158" s="114">
        <v>0</v>
      </c>
      <c r="F158" s="136">
        <v>0</v>
      </c>
      <c r="G158" s="147">
        <f>INDEX(S1_BaseRefNGNoHydro!C$29:C$44,MATCH($B158,S1_BaseRefNGNoHydro!$B$8:$B$23,0))*INDEX(RefTables!$D$238:$D$249,$C158)*10^6</f>
        <v>8000156.1534697711</v>
      </c>
      <c r="H158" s="34">
        <f>Inputs_AnnualElectric!D185</f>
        <v>25371620</v>
      </c>
      <c r="I158" s="34">
        <f>-INDEX(Inputs_SupplyCurve!$AA$9:$AA$24,MATCH($B158,Inputs_SupplyCurve!$S$9:$S$24,0))*INDEX(RefTables!$D$238:$D$249,$C158)</f>
        <v>-881618.08049955848</v>
      </c>
      <c r="J158" s="34">
        <f t="shared" si="35"/>
        <v>32490158.072970212</v>
      </c>
      <c r="K158" s="149">
        <f t="shared" si="36"/>
        <v>0</v>
      </c>
      <c r="L158" s="150">
        <f t="shared" si="37"/>
        <v>0</v>
      </c>
      <c r="M158" s="150">
        <f t="shared" si="38"/>
        <v>0</v>
      </c>
      <c r="N158" s="150">
        <f t="shared" si="42"/>
        <v>0</v>
      </c>
      <c r="O158" s="150">
        <f t="shared" si="42"/>
        <v>0</v>
      </c>
      <c r="P158" s="150">
        <f t="shared" si="39"/>
        <v>0</v>
      </c>
      <c r="Q158" s="150">
        <f t="shared" si="40"/>
        <v>0</v>
      </c>
      <c r="R158" s="186">
        <f t="shared" si="41"/>
        <v>0</v>
      </c>
    </row>
    <row r="159" spans="2:18" x14ac:dyDescent="0.35">
      <c r="B159" s="25">
        <v>2027</v>
      </c>
      <c r="C159" s="78">
        <v>9</v>
      </c>
      <c r="D159" s="135">
        <v>0</v>
      </c>
      <c r="E159" s="114">
        <v>0</v>
      </c>
      <c r="F159" s="136">
        <v>0</v>
      </c>
      <c r="G159" s="147">
        <f>INDEX(S1_BaseRefNGNoHydro!C$29:C$44,MATCH($B159,S1_BaseRefNGNoHydro!$B$8:$B$23,0))*INDEX(RefTables!$D$238:$D$249,$C159)*10^6</f>
        <v>9611157.3439756986</v>
      </c>
      <c r="H159" s="34">
        <f>Inputs_AnnualElectric!D186</f>
        <v>20522820</v>
      </c>
      <c r="I159" s="34">
        <f>-INDEX(Inputs_SupplyCurve!$AA$9:$AA$24,MATCH($B159,Inputs_SupplyCurve!$S$9:$S$24,0))*INDEX(RefTables!$D$238:$D$249,$C159)</f>
        <v>-1059150.5873669828</v>
      </c>
      <c r="J159" s="34">
        <f t="shared" si="35"/>
        <v>29074826.756608717</v>
      </c>
      <c r="K159" s="149">
        <f t="shared" si="36"/>
        <v>0</v>
      </c>
      <c r="L159" s="150">
        <f t="shared" si="37"/>
        <v>0</v>
      </c>
      <c r="M159" s="150">
        <f t="shared" si="38"/>
        <v>0</v>
      </c>
      <c r="N159" s="150">
        <f t="shared" si="42"/>
        <v>0</v>
      </c>
      <c r="O159" s="150">
        <f t="shared" si="42"/>
        <v>0</v>
      </c>
      <c r="P159" s="150">
        <f t="shared" si="39"/>
        <v>0</v>
      </c>
      <c r="Q159" s="150">
        <f t="shared" si="40"/>
        <v>0</v>
      </c>
      <c r="R159" s="186">
        <f t="shared" si="41"/>
        <v>0</v>
      </c>
    </row>
    <row r="160" spans="2:18" x14ac:dyDescent="0.35">
      <c r="B160" s="25">
        <v>2027</v>
      </c>
      <c r="C160" s="78">
        <v>10</v>
      </c>
      <c r="D160" s="135">
        <v>0</v>
      </c>
      <c r="E160" s="114">
        <v>0</v>
      </c>
      <c r="F160" s="136">
        <v>0</v>
      </c>
      <c r="G160" s="147">
        <f>INDEX(S1_BaseRefNGNoHydro!C$29:C$44,MATCH($B160,S1_BaseRefNGNoHydro!$B$8:$B$23,0))*INDEX(RefTables!$D$238:$D$249,$C160)*10^6</f>
        <v>17060774.215400245</v>
      </c>
      <c r="H160" s="34">
        <f>Inputs_AnnualElectric!D187</f>
        <v>20362550</v>
      </c>
      <c r="I160" s="34">
        <f>-INDEX(Inputs_SupplyCurve!$AA$9:$AA$24,MATCH($B160,Inputs_SupplyCurve!$S$9:$S$24,0))*INDEX(RefTables!$D$238:$D$249,$C160)</f>
        <v>-1880099.1789509023</v>
      </c>
      <c r="J160" s="34">
        <f t="shared" si="35"/>
        <v>35543225.036449343</v>
      </c>
      <c r="K160" s="149">
        <f t="shared" si="36"/>
        <v>0</v>
      </c>
      <c r="L160" s="150">
        <f t="shared" si="37"/>
        <v>0</v>
      </c>
      <c r="M160" s="150">
        <f t="shared" si="38"/>
        <v>0</v>
      </c>
      <c r="N160" s="150">
        <f t="shared" si="42"/>
        <v>0</v>
      </c>
      <c r="O160" s="150">
        <f t="shared" si="42"/>
        <v>0</v>
      </c>
      <c r="P160" s="150">
        <f t="shared" si="39"/>
        <v>0</v>
      </c>
      <c r="Q160" s="150">
        <f t="shared" si="40"/>
        <v>0</v>
      </c>
      <c r="R160" s="186">
        <f t="shared" si="41"/>
        <v>0</v>
      </c>
    </row>
    <row r="161" spans="2:18" x14ac:dyDescent="0.35">
      <c r="B161" s="25">
        <v>2027</v>
      </c>
      <c r="C161" s="78">
        <v>11</v>
      </c>
      <c r="D161" s="135">
        <v>-3.2988634361233498</v>
      </c>
      <c r="E161" s="114">
        <v>-3.2988634361233489</v>
      </c>
      <c r="F161" s="136">
        <v>-3.2988634361233506</v>
      </c>
      <c r="G161" s="147">
        <f>INDEX(S1_BaseRefNGNoHydro!C$29:C$44,MATCH($B161,S1_BaseRefNGNoHydro!$B$8:$B$23,0))*INDEX(RefTables!$D$238:$D$249,$C161)*10^6</f>
        <v>27116034.119570162</v>
      </c>
      <c r="H161" s="34">
        <f>Inputs_AnnualElectric!D188</f>
        <v>19439790</v>
      </c>
      <c r="I161" s="34">
        <f>-INDEX(Inputs_SupplyCurve!$AA$9:$AA$24,MATCH($B161,Inputs_SupplyCurve!$S$9:$S$24,0))*INDEX(RefTables!$D$238:$D$249,$C161)</f>
        <v>-2988189.9168790155</v>
      </c>
      <c r="J161" s="34">
        <f t="shared" si="35"/>
        <v>43567634.202691153</v>
      </c>
      <c r="K161" s="149">
        <f t="shared" si="36"/>
        <v>-143.72367546965489</v>
      </c>
      <c r="L161" s="150">
        <f t="shared" si="37"/>
        <v>-143.72367546965492</v>
      </c>
      <c r="M161" s="150">
        <f t="shared" si="38"/>
        <v>-143.72367546965495</v>
      </c>
      <c r="N161" s="150">
        <f t="shared" si="42"/>
        <v>-143.72367546965489</v>
      </c>
      <c r="O161" s="150">
        <f t="shared" si="42"/>
        <v>-143.72367546965489</v>
      </c>
      <c r="P161" s="150">
        <f t="shared" si="39"/>
        <v>-143.72367546965492</v>
      </c>
      <c r="Q161" s="150">
        <f t="shared" si="40"/>
        <v>-143.72367546965495</v>
      </c>
      <c r="R161" s="186">
        <f t="shared" si="41"/>
        <v>-143.72367546965489</v>
      </c>
    </row>
    <row r="162" spans="2:18" x14ac:dyDescent="0.35">
      <c r="B162" s="25">
        <v>2027</v>
      </c>
      <c r="C162" s="78">
        <v>12</v>
      </c>
      <c r="D162" s="135">
        <v>-9.3517344038652901</v>
      </c>
      <c r="E162" s="114">
        <v>-9.3517344038652865</v>
      </c>
      <c r="F162" s="136">
        <v>-9.3517344038652865</v>
      </c>
      <c r="G162" s="147">
        <f>INDEX(S1_BaseRefNGNoHydro!C$29:C$44,MATCH($B162,S1_BaseRefNGNoHydro!$B$8:$B$23,0))*INDEX(RefTables!$D$238:$D$249,$C162)*10^6</f>
        <v>42015134.368545435</v>
      </c>
      <c r="H162" s="34">
        <f>Inputs_AnnualElectric!D189</f>
        <v>21606280</v>
      </c>
      <c r="I162" s="34">
        <f>-INDEX(Inputs_SupplyCurve!$AA$9:$AA$24,MATCH($B162,Inputs_SupplyCurve!$S$9:$S$24,0))*INDEX(RefTables!$D$238:$D$249,$C162)</f>
        <v>-4630072.3890074026</v>
      </c>
      <c r="J162" s="34">
        <f t="shared" si="35"/>
        <v>58991341.979538031</v>
      </c>
      <c r="K162" s="149">
        <f t="shared" si="36"/>
        <v>-551.67136232022835</v>
      </c>
      <c r="L162" s="150">
        <f t="shared" si="37"/>
        <v>-551.67136232022858</v>
      </c>
      <c r="M162" s="150">
        <f t="shared" si="38"/>
        <v>-551.67136232022835</v>
      </c>
      <c r="N162" s="150">
        <f t="shared" si="42"/>
        <v>-551.67136232022835</v>
      </c>
      <c r="O162" s="150">
        <f t="shared" si="42"/>
        <v>-551.67136232022835</v>
      </c>
      <c r="P162" s="150">
        <f t="shared" si="39"/>
        <v>-551.67136232022858</v>
      </c>
      <c r="Q162" s="150">
        <f t="shared" si="40"/>
        <v>-551.67136232022835</v>
      </c>
      <c r="R162" s="186">
        <f t="shared" si="41"/>
        <v>-551.67136232022835</v>
      </c>
    </row>
    <row r="163" spans="2:18" x14ac:dyDescent="0.35">
      <c r="B163" s="25">
        <v>2028</v>
      </c>
      <c r="C163" s="78">
        <v>1</v>
      </c>
      <c r="D163" s="135">
        <v>-19.735024726445928</v>
      </c>
      <c r="E163" s="114">
        <v>-19.735024726445928</v>
      </c>
      <c r="F163" s="136">
        <v>-19.735024726445925</v>
      </c>
      <c r="G163" s="147">
        <f>INDEX(S1_BaseRefNGNoHydro!C$29:C$44,MATCH($B163,S1_BaseRefNGNoHydro!$B$8:$B$23,0))*INDEX(RefTables!$D$238:$D$249,$C163)*10^6</f>
        <v>48798193.909030914</v>
      </c>
      <c r="H163" s="34">
        <f>Inputs_AnnualElectric!D190</f>
        <v>26607680</v>
      </c>
      <c r="I163" s="34">
        <f>-INDEX(Inputs_SupplyCurve!$AA$9:$AA$24,MATCH($B163,Inputs_SupplyCurve!$S$9:$S$24,0))*INDEX(RefTables!$D$238:$D$249,$C163)</f>
        <v>-5421855.4437857298</v>
      </c>
      <c r="J163" s="34">
        <f t="shared" si="35"/>
        <v>69984018.465245187</v>
      </c>
      <c r="K163" s="149">
        <f t="shared" si="36"/>
        <v>-1381.1363348676621</v>
      </c>
      <c r="L163" s="150">
        <f t="shared" si="37"/>
        <v>-1381.1363348676621</v>
      </c>
      <c r="M163" s="150">
        <f t="shared" si="38"/>
        <v>-1381.1363348676618</v>
      </c>
      <c r="N163" s="150">
        <f t="shared" si="42"/>
        <v>-1381.1363348676621</v>
      </c>
      <c r="O163" s="150">
        <f t="shared" si="42"/>
        <v>-1381.1363348676621</v>
      </c>
      <c r="P163" s="150">
        <f t="shared" si="39"/>
        <v>-1381.1363348676621</v>
      </c>
      <c r="Q163" s="150">
        <f t="shared" si="40"/>
        <v>-1381.1363348676618</v>
      </c>
      <c r="R163" s="186">
        <f t="shared" si="41"/>
        <v>-1381.1363348676621</v>
      </c>
    </row>
    <row r="164" spans="2:18" x14ac:dyDescent="0.35">
      <c r="B164" s="25">
        <v>2028</v>
      </c>
      <c r="C164" s="78">
        <v>2</v>
      </c>
      <c r="D164" s="135">
        <v>-15.072781658751666</v>
      </c>
      <c r="E164" s="114">
        <v>-15.072781658751666</v>
      </c>
      <c r="F164" s="136">
        <v>-15.07278165875166</v>
      </c>
      <c r="G164" s="147">
        <f>INDEX(S1_BaseRefNGNoHydro!C$29:C$44,MATCH($B164,S1_BaseRefNGNoHydro!$B$8:$B$23,0))*INDEX(RefTables!$D$238:$D$249,$C164)*10^6</f>
        <v>42383496.837845705</v>
      </c>
      <c r="H164" s="34">
        <f>Inputs_AnnualElectric!D191</f>
        <v>22346040</v>
      </c>
      <c r="I164" s="34">
        <f>-INDEX(Inputs_SupplyCurve!$AA$9:$AA$24,MATCH($B164,Inputs_SupplyCurve!$S$9:$S$24,0))*INDEX(RefTables!$D$238:$D$249,$C164)</f>
        <v>-4709133.1594225504</v>
      </c>
      <c r="J164" s="34">
        <f t="shared" si="35"/>
        <v>60020403.678423151</v>
      </c>
      <c r="K164" s="149">
        <f t="shared" si="36"/>
        <v>-904.67443971500734</v>
      </c>
      <c r="L164" s="150">
        <f t="shared" si="37"/>
        <v>-904.67443971500734</v>
      </c>
      <c r="M164" s="150">
        <f t="shared" si="38"/>
        <v>-904.67443971500711</v>
      </c>
      <c r="N164" s="150">
        <f t="shared" si="42"/>
        <v>-904.67443971500734</v>
      </c>
      <c r="O164" s="150">
        <f t="shared" si="42"/>
        <v>-904.67443971500734</v>
      </c>
      <c r="P164" s="150">
        <f t="shared" si="39"/>
        <v>-904.67443971500734</v>
      </c>
      <c r="Q164" s="150">
        <f t="shared" si="40"/>
        <v>-904.67443971500711</v>
      </c>
      <c r="R164" s="186">
        <f t="shared" si="41"/>
        <v>-904.67443971500734</v>
      </c>
    </row>
    <row r="165" spans="2:18" x14ac:dyDescent="0.35">
      <c r="B165" s="25">
        <v>2028</v>
      </c>
      <c r="C165" s="78">
        <v>3</v>
      </c>
      <c r="D165" s="135">
        <v>-10.900927952252378</v>
      </c>
      <c r="E165" s="114">
        <v>-10.900927952252378</v>
      </c>
      <c r="F165" s="136">
        <v>-10.900927952252376</v>
      </c>
      <c r="G165" s="147">
        <f>INDEX(S1_BaseRefNGNoHydro!C$29:C$44,MATCH($B165,S1_BaseRefNGNoHydro!$B$8:$B$23,0))*INDEX(RefTables!$D$238:$D$249,$C165)*10^6</f>
        <v>37960413.578808427</v>
      </c>
      <c r="H165" s="34">
        <f>Inputs_AnnualElectric!D192</f>
        <v>19910660</v>
      </c>
      <c r="I165" s="34">
        <f>-INDEX(Inputs_SupplyCurve!$AA$9:$AA$24,MATCH($B165,Inputs_SupplyCurve!$S$9:$S$24,0))*INDEX(RefTables!$D$238:$D$249,$C165)</f>
        <v>-4217694.5194795541</v>
      </c>
      <c r="J165" s="34">
        <f t="shared" si="35"/>
        <v>53653379.059328869</v>
      </c>
      <c r="K165" s="149">
        <f t="shared" si="36"/>
        <v>-584.87161952063047</v>
      </c>
      <c r="L165" s="150">
        <f t="shared" si="37"/>
        <v>-584.87161952063047</v>
      </c>
      <c r="M165" s="150">
        <f t="shared" si="38"/>
        <v>-584.87161952063036</v>
      </c>
      <c r="N165" s="150">
        <f t="shared" si="42"/>
        <v>-584.87161952063047</v>
      </c>
      <c r="O165" s="150">
        <f t="shared" si="42"/>
        <v>-584.87161952063047</v>
      </c>
      <c r="P165" s="150">
        <f t="shared" si="39"/>
        <v>-584.87161952063047</v>
      </c>
      <c r="Q165" s="150">
        <f t="shared" si="40"/>
        <v>-584.87161952063036</v>
      </c>
      <c r="R165" s="186">
        <f t="shared" si="41"/>
        <v>-584.87161952063047</v>
      </c>
    </row>
    <row r="166" spans="2:18" x14ac:dyDescent="0.35">
      <c r="B166" s="25">
        <v>2028</v>
      </c>
      <c r="C166" s="78">
        <v>4</v>
      </c>
      <c r="D166" s="135">
        <v>0</v>
      </c>
      <c r="E166" s="114">
        <v>0</v>
      </c>
      <c r="F166" s="136">
        <v>0</v>
      </c>
      <c r="G166" s="147">
        <f>INDEX(S1_BaseRefNGNoHydro!C$29:C$44,MATCH($B166,S1_BaseRefNGNoHydro!$B$8:$B$23,0))*INDEX(RefTables!$D$238:$D$249,$C166)*10^6</f>
        <v>24630855.724214204</v>
      </c>
      <c r="H166" s="34">
        <f>Inputs_AnnualElectric!D193</f>
        <v>21522460</v>
      </c>
      <c r="I166" s="34">
        <f>-INDEX(Inputs_SupplyCurve!$AA$9:$AA$24,MATCH($B166,Inputs_SupplyCurve!$S$9:$S$24,0))*INDEX(RefTables!$D$238:$D$249,$C166)</f>
        <v>-2736677.9074320821</v>
      </c>
      <c r="J166" s="34">
        <f t="shared" si="35"/>
        <v>43416637.816782124</v>
      </c>
      <c r="K166" s="149">
        <f t="shared" si="36"/>
        <v>0</v>
      </c>
      <c r="L166" s="150">
        <f t="shared" si="37"/>
        <v>0</v>
      </c>
      <c r="M166" s="150">
        <f t="shared" si="38"/>
        <v>0</v>
      </c>
      <c r="N166" s="150">
        <f t="shared" si="42"/>
        <v>0</v>
      </c>
      <c r="O166" s="150">
        <f t="shared" si="42"/>
        <v>0</v>
      </c>
      <c r="P166" s="150">
        <f t="shared" si="39"/>
        <v>0</v>
      </c>
      <c r="Q166" s="150">
        <f t="shared" si="40"/>
        <v>0</v>
      </c>
      <c r="R166" s="186">
        <f t="shared" si="41"/>
        <v>0</v>
      </c>
    </row>
    <row r="167" spans="2:18" x14ac:dyDescent="0.35">
      <c r="B167" s="25">
        <v>2028</v>
      </c>
      <c r="C167" s="78">
        <v>5</v>
      </c>
      <c r="D167" s="135">
        <v>0</v>
      </c>
      <c r="E167" s="114">
        <v>0</v>
      </c>
      <c r="F167" s="136">
        <v>0</v>
      </c>
      <c r="G167" s="147">
        <f>INDEX(S1_BaseRefNGNoHydro!C$29:C$44,MATCH($B167,S1_BaseRefNGNoHydro!$B$8:$B$23,0))*INDEX(RefTables!$D$238:$D$249,$C167)*10^6</f>
        <v>14669983.068559078</v>
      </c>
      <c r="H167" s="34">
        <f>Inputs_AnnualElectric!D194</f>
        <v>20354930</v>
      </c>
      <c r="I167" s="34">
        <f>-INDEX(Inputs_SupplyCurve!$AA$9:$AA$24,MATCH($B167,Inputs_SupplyCurve!$S$9:$S$24,0))*INDEX(RefTables!$D$238:$D$249,$C167)</f>
        <v>-1629948.1843280189</v>
      </c>
      <c r="J167" s="34">
        <f t="shared" ref="J167:J198" si="43">SUM(G167:I167)</f>
        <v>33394964.884231061</v>
      </c>
      <c r="K167" s="149">
        <f t="shared" ref="K167:K198" si="44">$J167*$E167*10^-6</f>
        <v>0</v>
      </c>
      <c r="L167" s="150">
        <f t="shared" ref="L167:L198" si="45">$J167*$D167*10^-6</f>
        <v>0</v>
      </c>
      <c r="M167" s="150">
        <f t="shared" ref="M167:M198" si="46">$J167*$F167*10^-6</f>
        <v>0</v>
      </c>
      <c r="N167" s="150">
        <f t="shared" ref="N167:O186" si="47">$J167*$E167*10^-6</f>
        <v>0</v>
      </c>
      <c r="O167" s="150">
        <f t="shared" si="47"/>
        <v>0</v>
      </c>
      <c r="P167" s="150">
        <f t="shared" ref="P167:P198" si="48">$J167*$D167*10^-6</f>
        <v>0</v>
      </c>
      <c r="Q167" s="150">
        <f t="shared" ref="Q167:Q198" si="49">$J167*$F167*10^-6</f>
        <v>0</v>
      </c>
      <c r="R167" s="186">
        <f t="shared" ref="R167:R198" si="50">$J167*$E167*10^-6</f>
        <v>0</v>
      </c>
    </row>
    <row r="168" spans="2:18" x14ac:dyDescent="0.35">
      <c r="B168" s="25">
        <v>2028</v>
      </c>
      <c r="C168" s="78">
        <v>6</v>
      </c>
      <c r="D168" s="135">
        <v>0</v>
      </c>
      <c r="E168" s="114">
        <v>0</v>
      </c>
      <c r="F168" s="136">
        <v>0</v>
      </c>
      <c r="G168" s="147">
        <f>INDEX(S1_BaseRefNGNoHydro!C$29:C$44,MATCH($B168,S1_BaseRefNGNoHydro!$B$8:$B$23,0))*INDEX(RefTables!$D$238:$D$249,$C168)*10^6</f>
        <v>9376179.0749336425</v>
      </c>
      <c r="H168" s="34">
        <f>Inputs_AnnualElectric!D195</f>
        <v>21220860</v>
      </c>
      <c r="I168" s="34">
        <f>-INDEX(Inputs_SupplyCurve!$AA$9:$AA$24,MATCH($B168,Inputs_SupplyCurve!$S$9:$S$24,0))*INDEX(RefTables!$D$238:$D$249,$C168)</f>
        <v>-1041765.7598989686</v>
      </c>
      <c r="J168" s="34">
        <f t="shared" si="43"/>
        <v>29555273.315034673</v>
      </c>
      <c r="K168" s="149">
        <f t="shared" si="44"/>
        <v>0</v>
      </c>
      <c r="L168" s="150">
        <f t="shared" si="45"/>
        <v>0</v>
      </c>
      <c r="M168" s="150">
        <f t="shared" si="46"/>
        <v>0</v>
      </c>
      <c r="N168" s="150">
        <f t="shared" si="47"/>
        <v>0</v>
      </c>
      <c r="O168" s="150">
        <f t="shared" si="47"/>
        <v>0</v>
      </c>
      <c r="P168" s="150">
        <f t="shared" si="48"/>
        <v>0</v>
      </c>
      <c r="Q168" s="150">
        <f t="shared" si="49"/>
        <v>0</v>
      </c>
      <c r="R168" s="186">
        <f t="shared" si="50"/>
        <v>0</v>
      </c>
    </row>
    <row r="169" spans="2:18" x14ac:dyDescent="0.35">
      <c r="B169" s="25">
        <v>2028</v>
      </c>
      <c r="C169" s="78">
        <v>7</v>
      </c>
      <c r="D169" s="135">
        <v>0</v>
      </c>
      <c r="E169" s="114">
        <v>0</v>
      </c>
      <c r="F169" s="136">
        <v>0</v>
      </c>
      <c r="G169" s="147">
        <f>INDEX(S1_BaseRefNGNoHydro!C$29:C$44,MATCH($B169,S1_BaseRefNGNoHydro!$B$8:$B$23,0))*INDEX(RefTables!$D$238:$D$249,$C169)*10^6</f>
        <v>7881092.2019324275</v>
      </c>
      <c r="H169" s="34">
        <f>Inputs_AnnualElectric!D196</f>
        <v>27130640</v>
      </c>
      <c r="I169" s="34">
        <f>-INDEX(Inputs_SupplyCurve!$AA$9:$AA$24,MATCH($B169,Inputs_SupplyCurve!$S$9:$S$24,0))*INDEX(RefTables!$D$238:$D$249,$C169)</f>
        <v>-875650.08528146939</v>
      </c>
      <c r="J169" s="34">
        <f t="shared" si="43"/>
        <v>34136082.116650961</v>
      </c>
      <c r="K169" s="149">
        <f t="shared" si="44"/>
        <v>0</v>
      </c>
      <c r="L169" s="150">
        <f t="shared" si="45"/>
        <v>0</v>
      </c>
      <c r="M169" s="150">
        <f t="shared" si="46"/>
        <v>0</v>
      </c>
      <c r="N169" s="150">
        <f t="shared" si="47"/>
        <v>0</v>
      </c>
      <c r="O169" s="150">
        <f t="shared" si="47"/>
        <v>0</v>
      </c>
      <c r="P169" s="150">
        <f t="shared" si="48"/>
        <v>0</v>
      </c>
      <c r="Q169" s="150">
        <f t="shared" si="49"/>
        <v>0</v>
      </c>
      <c r="R169" s="186">
        <f t="shared" si="50"/>
        <v>0</v>
      </c>
    </row>
    <row r="170" spans="2:18" x14ac:dyDescent="0.35">
      <c r="B170" s="25">
        <v>2028</v>
      </c>
      <c r="C170" s="78">
        <v>8</v>
      </c>
      <c r="D170" s="135">
        <v>0</v>
      </c>
      <c r="E170" s="114">
        <v>0</v>
      </c>
      <c r="F170" s="136">
        <v>0</v>
      </c>
      <c r="G170" s="147">
        <f>INDEX(S1_BaseRefNGNoHydro!C$29:C$44,MATCH($B170,S1_BaseRefNGNoHydro!$B$8:$B$23,0))*INDEX(RefTables!$D$238:$D$249,$C170)*10^6</f>
        <v>8039350.9985565273</v>
      </c>
      <c r="H170" s="34">
        <f>Inputs_AnnualElectric!D197</f>
        <v>26992320</v>
      </c>
      <c r="I170" s="34">
        <f>-INDEX(Inputs_SupplyCurve!$AA$9:$AA$24,MATCH($B170,Inputs_SupplyCurve!$S$9:$S$24,0))*INDEX(RefTables!$D$238:$D$249,$C170)</f>
        <v>-893233.85732850304</v>
      </c>
      <c r="J170" s="34">
        <f t="shared" si="43"/>
        <v>34138437.14122802</v>
      </c>
      <c r="K170" s="149">
        <f t="shared" si="44"/>
        <v>0</v>
      </c>
      <c r="L170" s="150">
        <f t="shared" si="45"/>
        <v>0</v>
      </c>
      <c r="M170" s="150">
        <f t="shared" si="46"/>
        <v>0</v>
      </c>
      <c r="N170" s="150">
        <f t="shared" si="47"/>
        <v>0</v>
      </c>
      <c r="O170" s="150">
        <f t="shared" si="47"/>
        <v>0</v>
      </c>
      <c r="P170" s="150">
        <f t="shared" si="48"/>
        <v>0</v>
      </c>
      <c r="Q170" s="150">
        <f t="shared" si="49"/>
        <v>0</v>
      </c>
      <c r="R170" s="186">
        <f t="shared" si="50"/>
        <v>0</v>
      </c>
    </row>
    <row r="171" spans="2:18" x14ac:dyDescent="0.35">
      <c r="B171" s="25">
        <v>2028</v>
      </c>
      <c r="C171" s="78">
        <v>9</v>
      </c>
      <c r="D171" s="135">
        <v>0</v>
      </c>
      <c r="E171" s="114">
        <v>0</v>
      </c>
      <c r="F171" s="136">
        <v>0</v>
      </c>
      <c r="G171" s="147">
        <f>INDEX(S1_BaseRefNGNoHydro!C$29:C$44,MATCH($B171,S1_BaseRefNGNoHydro!$B$8:$B$23,0))*INDEX(RefTables!$D$238:$D$249,$C171)*10^6</f>
        <v>9658244.9027651809</v>
      </c>
      <c r="H171" s="34">
        <f>Inputs_AnnualElectric!D198</f>
        <v>21395380</v>
      </c>
      <c r="I171" s="34">
        <f>-INDEX(Inputs_SupplyCurve!$AA$9:$AA$24,MATCH($B171,Inputs_SupplyCurve!$S$9:$S$24,0))*INDEX(RefTables!$D$238:$D$249,$C171)</f>
        <v>-1073105.4473264441</v>
      </c>
      <c r="J171" s="34">
        <f t="shared" si="43"/>
        <v>29980519.455438737</v>
      </c>
      <c r="K171" s="149">
        <f t="shared" si="44"/>
        <v>0</v>
      </c>
      <c r="L171" s="150">
        <f t="shared" si="45"/>
        <v>0</v>
      </c>
      <c r="M171" s="150">
        <f t="shared" si="46"/>
        <v>0</v>
      </c>
      <c r="N171" s="150">
        <f t="shared" si="47"/>
        <v>0</v>
      </c>
      <c r="O171" s="150">
        <f t="shared" si="47"/>
        <v>0</v>
      </c>
      <c r="P171" s="150">
        <f t="shared" si="48"/>
        <v>0</v>
      </c>
      <c r="Q171" s="150">
        <f t="shared" si="49"/>
        <v>0</v>
      </c>
      <c r="R171" s="186">
        <f t="shared" si="50"/>
        <v>0</v>
      </c>
    </row>
    <row r="172" spans="2:18" x14ac:dyDescent="0.35">
      <c r="B172" s="25">
        <v>2028</v>
      </c>
      <c r="C172" s="78">
        <v>10</v>
      </c>
      <c r="D172" s="135">
        <v>0</v>
      </c>
      <c r="E172" s="114">
        <v>0</v>
      </c>
      <c r="F172" s="136">
        <v>0</v>
      </c>
      <c r="G172" s="147">
        <f>INDEX(S1_BaseRefNGNoHydro!C$29:C$44,MATCH($B172,S1_BaseRefNGNoHydro!$B$8:$B$23,0))*INDEX(RefTables!$D$238:$D$249,$C172)*10^6</f>
        <v>17144359.384190068</v>
      </c>
      <c r="H172" s="34">
        <f>Inputs_AnnualElectric!D199</f>
        <v>19642850</v>
      </c>
      <c r="I172" s="34">
        <f>-INDEX(Inputs_SupplyCurve!$AA$9:$AA$24,MATCH($B172,Inputs_SupplyCurve!$S$9:$S$24,0))*INDEX(RefTables!$D$238:$D$249,$C172)</f>
        <v>-1904870.4636625326</v>
      </c>
      <c r="J172" s="34">
        <f t="shared" si="43"/>
        <v>34882338.920527533</v>
      </c>
      <c r="K172" s="149">
        <f t="shared" si="44"/>
        <v>0</v>
      </c>
      <c r="L172" s="150">
        <f t="shared" si="45"/>
        <v>0</v>
      </c>
      <c r="M172" s="150">
        <f t="shared" si="46"/>
        <v>0</v>
      </c>
      <c r="N172" s="150">
        <f t="shared" si="47"/>
        <v>0</v>
      </c>
      <c r="O172" s="150">
        <f t="shared" si="47"/>
        <v>0</v>
      </c>
      <c r="P172" s="150">
        <f t="shared" si="48"/>
        <v>0</v>
      </c>
      <c r="Q172" s="150">
        <f t="shared" si="49"/>
        <v>0</v>
      </c>
      <c r="R172" s="186">
        <f t="shared" si="50"/>
        <v>0</v>
      </c>
    </row>
    <row r="173" spans="2:18" x14ac:dyDescent="0.35">
      <c r="B173" s="25">
        <v>2028</v>
      </c>
      <c r="C173" s="78">
        <v>11</v>
      </c>
      <c r="D173" s="135">
        <v>-3.2988634361233498</v>
      </c>
      <c r="E173" s="114">
        <v>-3.2988634361233489</v>
      </c>
      <c r="F173" s="136">
        <v>-3.2988634361233427</v>
      </c>
      <c r="G173" s="147">
        <f>INDEX(S1_BaseRefNGNoHydro!C$29:C$44,MATCH($B173,S1_BaseRefNGNoHydro!$B$8:$B$23,0))*INDEX(RefTables!$D$238:$D$249,$C173)*10^6</f>
        <v>27248882.621061321</v>
      </c>
      <c r="H173" s="34">
        <f>Inputs_AnnualElectric!D200</f>
        <v>20425600</v>
      </c>
      <c r="I173" s="34">
        <f>-INDEX(Inputs_SupplyCurve!$AA$9:$AA$24,MATCH($B173,Inputs_SupplyCurve!$S$9:$S$24,0))*INDEX(RefTables!$D$238:$D$249,$C173)</f>
        <v>-3027560.8734924519</v>
      </c>
      <c r="J173" s="34">
        <f t="shared" si="43"/>
        <v>44646921.747568876</v>
      </c>
      <c r="K173" s="149">
        <f t="shared" si="44"/>
        <v>-147.28409768851532</v>
      </c>
      <c r="L173" s="150">
        <f t="shared" si="45"/>
        <v>-147.28409768851535</v>
      </c>
      <c r="M173" s="150">
        <f t="shared" si="46"/>
        <v>-147.28409768851506</v>
      </c>
      <c r="N173" s="150">
        <f t="shared" si="47"/>
        <v>-147.28409768851532</v>
      </c>
      <c r="O173" s="150">
        <f t="shared" si="47"/>
        <v>-147.28409768851532</v>
      </c>
      <c r="P173" s="150">
        <f t="shared" si="48"/>
        <v>-147.28409768851535</v>
      </c>
      <c r="Q173" s="150">
        <f t="shared" si="49"/>
        <v>-147.28409768851506</v>
      </c>
      <c r="R173" s="186">
        <f t="shared" si="50"/>
        <v>-147.28409768851532</v>
      </c>
    </row>
    <row r="174" spans="2:18" x14ac:dyDescent="0.35">
      <c r="B174" s="25">
        <v>2028</v>
      </c>
      <c r="C174" s="78">
        <v>12</v>
      </c>
      <c r="D174" s="135">
        <v>-9.3517344038652848</v>
      </c>
      <c r="E174" s="114">
        <v>-9.3517344038652883</v>
      </c>
      <c r="F174" s="136">
        <v>-9.3517344038652865</v>
      </c>
      <c r="G174" s="147">
        <f>INDEX(S1_BaseRefNGNoHydro!C$29:C$44,MATCH($B174,S1_BaseRefNGNoHydro!$B$8:$B$23,0))*INDEX(RefTables!$D$238:$D$249,$C174)*10^6</f>
        <v>42220977.436016075</v>
      </c>
      <c r="H174" s="34">
        <f>Inputs_AnnualElectric!D201</f>
        <v>22417370</v>
      </c>
      <c r="I174" s="34">
        <f>-INDEX(Inputs_SupplyCurve!$AA$9:$AA$24,MATCH($B174,Inputs_SupplyCurve!$S$9:$S$24,0))*INDEX(RefTables!$D$238:$D$249,$C174)</f>
        <v>-4691076.0012995796</v>
      </c>
      <c r="J174" s="34">
        <f t="shared" si="43"/>
        <v>59947271.434716493</v>
      </c>
      <c r="K174" s="149">
        <f t="shared" si="44"/>
        <v>-560.61096069388896</v>
      </c>
      <c r="L174" s="150">
        <f t="shared" si="45"/>
        <v>-560.61096069388884</v>
      </c>
      <c r="M174" s="150">
        <f t="shared" si="46"/>
        <v>-560.61096069388884</v>
      </c>
      <c r="N174" s="150">
        <f t="shared" si="47"/>
        <v>-560.61096069388896</v>
      </c>
      <c r="O174" s="150">
        <f t="shared" si="47"/>
        <v>-560.61096069388896</v>
      </c>
      <c r="P174" s="150">
        <f t="shared" si="48"/>
        <v>-560.61096069388884</v>
      </c>
      <c r="Q174" s="150">
        <f t="shared" si="49"/>
        <v>-560.61096069388884</v>
      </c>
      <c r="R174" s="186">
        <f t="shared" si="50"/>
        <v>-560.61096069388896</v>
      </c>
    </row>
    <row r="175" spans="2:18" x14ac:dyDescent="0.35">
      <c r="B175" s="25">
        <v>2029</v>
      </c>
      <c r="C175" s="78">
        <v>1</v>
      </c>
      <c r="D175" s="135">
        <v>-19.735024726445928</v>
      </c>
      <c r="E175" s="114">
        <v>-19.735024726445928</v>
      </c>
      <c r="F175" s="136">
        <v>-19.735024726445925</v>
      </c>
      <c r="G175" s="147">
        <f>INDEX(S1_BaseRefNGNoHydro!C$29:C$44,MATCH($B175,S1_BaseRefNGNoHydro!$B$8:$B$23,0))*INDEX(RefTables!$D$238:$D$249,$C175)*10^6</f>
        <v>49037292.915825985</v>
      </c>
      <c r="H175" s="34">
        <f>Inputs_AnnualElectric!D202</f>
        <v>27180080</v>
      </c>
      <c r="I175" s="34">
        <f>-INDEX(Inputs_SupplyCurve!$AA$9:$AA$24,MATCH($B175,Inputs_SupplyCurve!$S$9:$S$24,0))*INDEX(RefTables!$D$238:$D$249,$C175)</f>
        <v>-5449196.2677322393</v>
      </c>
      <c r="J175" s="34">
        <f t="shared" si="43"/>
        <v>70768176.64809376</v>
      </c>
      <c r="K175" s="149">
        <f t="shared" si="44"/>
        <v>-1396.6117159956236</v>
      </c>
      <c r="L175" s="150">
        <f t="shared" si="45"/>
        <v>-1396.6117159956236</v>
      </c>
      <c r="M175" s="150">
        <f t="shared" si="46"/>
        <v>-1396.6117159956234</v>
      </c>
      <c r="N175" s="150">
        <f t="shared" si="47"/>
        <v>-1396.6117159956236</v>
      </c>
      <c r="O175" s="150">
        <f t="shared" si="47"/>
        <v>-1396.6117159956236</v>
      </c>
      <c r="P175" s="150">
        <f t="shared" si="48"/>
        <v>-1396.6117159956236</v>
      </c>
      <c r="Q175" s="150">
        <f t="shared" si="49"/>
        <v>-1396.6117159956234</v>
      </c>
      <c r="R175" s="186">
        <f t="shared" si="50"/>
        <v>-1396.6117159956236</v>
      </c>
    </row>
    <row r="176" spans="2:18" x14ac:dyDescent="0.35">
      <c r="B176" s="25">
        <v>2029</v>
      </c>
      <c r="C176" s="78">
        <v>2</v>
      </c>
      <c r="D176" s="135">
        <v>-14.661720578980482</v>
      </c>
      <c r="E176" s="114">
        <v>-14.661720578980484</v>
      </c>
      <c r="F176" s="136">
        <v>-14.661720578980493</v>
      </c>
      <c r="G176" s="147">
        <f>INDEX(S1_BaseRefNGNoHydro!C$29:C$44,MATCH($B176,S1_BaseRefNGNoHydro!$B$8:$B$23,0))*INDEX(RefTables!$D$238:$D$249,$C176)*10^6</f>
        <v>42591165.425279953</v>
      </c>
      <c r="H176" s="34">
        <f>Inputs_AnnualElectric!D203</f>
        <v>21291860</v>
      </c>
      <c r="I176" s="34">
        <f>-INDEX(Inputs_SupplyCurve!$AA$9:$AA$24,MATCH($B176,Inputs_SupplyCurve!$S$9:$S$24,0))*INDEX(RefTables!$D$238:$D$249,$C176)</f>
        <v>-4732879.9343019901</v>
      </c>
      <c r="J176" s="34">
        <f t="shared" si="43"/>
        <v>59150145.490977965</v>
      </c>
      <c r="K176" s="149">
        <f t="shared" si="44"/>
        <v>-867.24290539476124</v>
      </c>
      <c r="L176" s="150">
        <f t="shared" si="45"/>
        <v>-867.24290539476112</v>
      </c>
      <c r="M176" s="150">
        <f t="shared" si="46"/>
        <v>-867.24290539476181</v>
      </c>
      <c r="N176" s="150">
        <f t="shared" si="47"/>
        <v>-867.24290539476124</v>
      </c>
      <c r="O176" s="150">
        <f t="shared" si="47"/>
        <v>-867.24290539476124</v>
      </c>
      <c r="P176" s="150">
        <f t="shared" si="48"/>
        <v>-867.24290539476112</v>
      </c>
      <c r="Q176" s="150">
        <f t="shared" si="49"/>
        <v>-867.24290539476181</v>
      </c>
      <c r="R176" s="186">
        <f t="shared" si="50"/>
        <v>-867.24290539476124</v>
      </c>
    </row>
    <row r="177" spans="2:18" x14ac:dyDescent="0.35">
      <c r="B177" s="25">
        <v>2029</v>
      </c>
      <c r="C177" s="78">
        <v>3</v>
      </c>
      <c r="D177" s="135">
        <v>-10.900927952252381</v>
      </c>
      <c r="E177" s="114">
        <v>-10.900927952252381</v>
      </c>
      <c r="F177" s="136">
        <v>-10.900927952252388</v>
      </c>
      <c r="G177" s="147">
        <f>INDEX(S1_BaseRefNGNoHydro!C$29:C$44,MATCH($B177,S1_BaseRefNGNoHydro!$B$8:$B$23,0))*INDEX(RefTables!$D$238:$D$249,$C177)*10^6</f>
        <v>38146410.158951201</v>
      </c>
      <c r="H177" s="34">
        <f>Inputs_AnnualElectric!D204</f>
        <v>22214110</v>
      </c>
      <c r="I177" s="34">
        <f>-INDEX(Inputs_SupplyCurve!$AA$9:$AA$24,MATCH($B177,Inputs_SupplyCurve!$S$9:$S$24,0))*INDEX(RefTables!$D$238:$D$249,$C177)</f>
        <v>-4238963.1136928909</v>
      </c>
      <c r="J177" s="34">
        <f t="shared" si="43"/>
        <v>56121557.045258313</v>
      </c>
      <c r="K177" s="149">
        <f t="shared" si="44"/>
        <v>-611.77704991858286</v>
      </c>
      <c r="L177" s="150">
        <f t="shared" si="45"/>
        <v>-611.77704991858286</v>
      </c>
      <c r="M177" s="150">
        <f t="shared" si="46"/>
        <v>-611.7770499185832</v>
      </c>
      <c r="N177" s="150">
        <f t="shared" si="47"/>
        <v>-611.77704991858286</v>
      </c>
      <c r="O177" s="150">
        <f t="shared" si="47"/>
        <v>-611.77704991858286</v>
      </c>
      <c r="P177" s="150">
        <f t="shared" si="48"/>
        <v>-611.77704991858286</v>
      </c>
      <c r="Q177" s="150">
        <f t="shared" si="49"/>
        <v>-611.7770499185832</v>
      </c>
      <c r="R177" s="186">
        <f t="shared" si="50"/>
        <v>-611.77704991858286</v>
      </c>
    </row>
    <row r="178" spans="2:18" x14ac:dyDescent="0.35">
      <c r="B178" s="25">
        <v>2029</v>
      </c>
      <c r="C178" s="78">
        <v>4</v>
      </c>
      <c r="D178" s="135">
        <v>0</v>
      </c>
      <c r="E178" s="114">
        <v>0</v>
      </c>
      <c r="F178" s="136">
        <v>0</v>
      </c>
      <c r="G178" s="147">
        <f>INDEX(S1_BaseRefNGNoHydro!C$29:C$44,MATCH($B178,S1_BaseRefNGNoHydro!$B$8:$B$23,0))*INDEX(RefTables!$D$238:$D$249,$C178)*10^6</f>
        <v>24751540.787910435</v>
      </c>
      <c r="H178" s="34">
        <f>Inputs_AnnualElectric!D205</f>
        <v>20913630</v>
      </c>
      <c r="I178" s="34">
        <f>-INDEX(Inputs_SupplyCurve!$AA$9:$AA$24,MATCH($B178,Inputs_SupplyCurve!$S$9:$S$24,0))*INDEX(RefTables!$D$238:$D$249,$C178)</f>
        <v>-2750478.1700250586</v>
      </c>
      <c r="J178" s="34">
        <f t="shared" si="43"/>
        <v>42914692.617885374</v>
      </c>
      <c r="K178" s="149">
        <f t="shared" si="44"/>
        <v>0</v>
      </c>
      <c r="L178" s="150">
        <f t="shared" si="45"/>
        <v>0</v>
      </c>
      <c r="M178" s="150">
        <f t="shared" si="46"/>
        <v>0</v>
      </c>
      <c r="N178" s="150">
        <f t="shared" si="47"/>
        <v>0</v>
      </c>
      <c r="O178" s="150">
        <f t="shared" si="47"/>
        <v>0</v>
      </c>
      <c r="P178" s="150">
        <f t="shared" si="48"/>
        <v>0</v>
      </c>
      <c r="Q178" s="150">
        <f t="shared" si="49"/>
        <v>0</v>
      </c>
      <c r="R178" s="186">
        <f t="shared" si="50"/>
        <v>0</v>
      </c>
    </row>
    <row r="179" spans="2:18" x14ac:dyDescent="0.35">
      <c r="B179" s="25">
        <v>2029</v>
      </c>
      <c r="C179" s="78">
        <v>5</v>
      </c>
      <c r="D179" s="135">
        <v>0</v>
      </c>
      <c r="E179" s="114">
        <v>0</v>
      </c>
      <c r="F179" s="136">
        <v>0</v>
      </c>
      <c r="G179" s="147">
        <f>INDEX(S1_BaseRefNGNoHydro!C$29:C$44,MATCH($B179,S1_BaseRefNGNoHydro!$B$8:$B$23,0))*INDEX(RefTables!$D$238:$D$249,$C179)*10^6</f>
        <v>14741862.334991191</v>
      </c>
      <c r="H179" s="34">
        <f>Inputs_AnnualElectric!D206</f>
        <v>18675360</v>
      </c>
      <c r="I179" s="34">
        <f>-INDEX(Inputs_SupplyCurve!$AA$9:$AA$24,MATCH($B179,Inputs_SupplyCurve!$S$9:$S$24,0))*INDEX(RefTables!$D$238:$D$249,$C179)</f>
        <v>-1638167.5341081247</v>
      </c>
      <c r="J179" s="34">
        <f t="shared" si="43"/>
        <v>31779054.800883066</v>
      </c>
      <c r="K179" s="149">
        <f t="shared" si="44"/>
        <v>0</v>
      </c>
      <c r="L179" s="150">
        <f t="shared" si="45"/>
        <v>0</v>
      </c>
      <c r="M179" s="150">
        <f t="shared" si="46"/>
        <v>0</v>
      </c>
      <c r="N179" s="150">
        <f t="shared" si="47"/>
        <v>0</v>
      </c>
      <c r="O179" s="150">
        <f t="shared" si="47"/>
        <v>0</v>
      </c>
      <c r="P179" s="150">
        <f t="shared" si="48"/>
        <v>0</v>
      </c>
      <c r="Q179" s="150">
        <f t="shared" si="49"/>
        <v>0</v>
      </c>
      <c r="R179" s="186">
        <f t="shared" si="50"/>
        <v>0</v>
      </c>
    </row>
    <row r="180" spans="2:18" x14ac:dyDescent="0.35">
      <c r="B180" s="25">
        <v>2029</v>
      </c>
      <c r="C180" s="78">
        <v>6</v>
      </c>
      <c r="D180" s="135">
        <v>0</v>
      </c>
      <c r="E180" s="114">
        <v>0</v>
      </c>
      <c r="F180" s="136">
        <v>0</v>
      </c>
      <c r="G180" s="147">
        <f>INDEX(S1_BaseRefNGNoHydro!C$29:C$44,MATCH($B180,S1_BaseRefNGNoHydro!$B$8:$B$23,0))*INDEX(RefTables!$D$238:$D$249,$C180)*10^6</f>
        <v>9422120.0191523675</v>
      </c>
      <c r="H180" s="34">
        <f>Inputs_AnnualElectric!D207</f>
        <v>21471110</v>
      </c>
      <c r="I180" s="34">
        <f>-INDEX(Inputs_SupplyCurve!$AA$9:$AA$24,MATCH($B180,Inputs_SupplyCurve!$S$9:$S$24,0))*INDEX(RefTables!$D$238:$D$249,$C180)</f>
        <v>-1047019.078533191</v>
      </c>
      <c r="J180" s="34">
        <f t="shared" si="43"/>
        <v>29846210.940619174</v>
      </c>
      <c r="K180" s="149">
        <f t="shared" si="44"/>
        <v>0</v>
      </c>
      <c r="L180" s="150">
        <f t="shared" si="45"/>
        <v>0</v>
      </c>
      <c r="M180" s="150">
        <f t="shared" si="46"/>
        <v>0</v>
      </c>
      <c r="N180" s="150">
        <f t="shared" si="47"/>
        <v>0</v>
      </c>
      <c r="O180" s="150">
        <f t="shared" si="47"/>
        <v>0</v>
      </c>
      <c r="P180" s="150">
        <f t="shared" si="48"/>
        <v>0</v>
      </c>
      <c r="Q180" s="150">
        <f t="shared" si="49"/>
        <v>0</v>
      </c>
      <c r="R180" s="186">
        <f t="shared" si="50"/>
        <v>0</v>
      </c>
    </row>
    <row r="181" spans="2:18" x14ac:dyDescent="0.35">
      <c r="B181" s="25">
        <v>2029</v>
      </c>
      <c r="C181" s="78">
        <v>7</v>
      </c>
      <c r="D181" s="135">
        <v>0</v>
      </c>
      <c r="E181" s="114">
        <v>0</v>
      </c>
      <c r="F181" s="136">
        <v>0</v>
      </c>
      <c r="G181" s="147">
        <f>INDEX(S1_BaseRefNGNoHydro!C$29:C$44,MATCH($B181,S1_BaseRefNGNoHydro!$B$8:$B$23,0))*INDEX(RefTables!$D$238:$D$249,$C181)*10^6</f>
        <v>7919707.5925236298</v>
      </c>
      <c r="H181" s="34">
        <f>Inputs_AnnualElectric!D208</f>
        <v>27272970</v>
      </c>
      <c r="I181" s="34">
        <f>-INDEX(Inputs_SupplyCurve!$AA$9:$AA$24,MATCH($B181,Inputs_SupplyCurve!$S$9:$S$24,0))*INDEX(RefTables!$D$238:$D$249,$C181)</f>
        <v>-880065.7313769157</v>
      </c>
      <c r="J181" s="34">
        <f t="shared" si="43"/>
        <v>34312611.861146711</v>
      </c>
      <c r="K181" s="149">
        <f t="shared" si="44"/>
        <v>0</v>
      </c>
      <c r="L181" s="150">
        <f t="shared" si="45"/>
        <v>0</v>
      </c>
      <c r="M181" s="150">
        <f t="shared" si="46"/>
        <v>0</v>
      </c>
      <c r="N181" s="150">
        <f t="shared" si="47"/>
        <v>0</v>
      </c>
      <c r="O181" s="150">
        <f t="shared" si="47"/>
        <v>0</v>
      </c>
      <c r="P181" s="150">
        <f t="shared" si="48"/>
        <v>0</v>
      </c>
      <c r="Q181" s="150">
        <f t="shared" si="49"/>
        <v>0</v>
      </c>
      <c r="R181" s="186">
        <f t="shared" si="50"/>
        <v>0</v>
      </c>
    </row>
    <row r="182" spans="2:18" x14ac:dyDescent="0.35">
      <c r="B182" s="25">
        <v>2029</v>
      </c>
      <c r="C182" s="78">
        <v>8</v>
      </c>
      <c r="D182" s="135">
        <v>0</v>
      </c>
      <c r="E182" s="114">
        <v>0</v>
      </c>
      <c r="F182" s="136">
        <v>0</v>
      </c>
      <c r="G182" s="147">
        <f>INDEX(S1_BaseRefNGNoHydro!C$29:C$44,MATCH($B182,S1_BaseRefNGNoHydro!$B$8:$B$23,0))*INDEX(RefTables!$D$238:$D$249,$C182)*10^6</f>
        <v>8078741.8178687161</v>
      </c>
      <c r="H182" s="34">
        <f>Inputs_AnnualElectric!D209</f>
        <v>26463160</v>
      </c>
      <c r="I182" s="34">
        <f>-INDEX(Inputs_SupplyCurve!$AA$9:$AA$24,MATCH($B182,Inputs_SupplyCurve!$S$9:$S$24,0))*INDEX(RefTables!$D$238:$D$249,$C182)</f>
        <v>-897738.17321989615</v>
      </c>
      <c r="J182" s="34">
        <f t="shared" si="43"/>
        <v>33644163.64464882</v>
      </c>
      <c r="K182" s="149">
        <f t="shared" si="44"/>
        <v>0</v>
      </c>
      <c r="L182" s="150">
        <f t="shared" si="45"/>
        <v>0</v>
      </c>
      <c r="M182" s="150">
        <f t="shared" si="46"/>
        <v>0</v>
      </c>
      <c r="N182" s="150">
        <f t="shared" si="47"/>
        <v>0</v>
      </c>
      <c r="O182" s="150">
        <f t="shared" si="47"/>
        <v>0</v>
      </c>
      <c r="P182" s="150">
        <f t="shared" si="48"/>
        <v>0</v>
      </c>
      <c r="Q182" s="150">
        <f t="shared" si="49"/>
        <v>0</v>
      </c>
      <c r="R182" s="186">
        <f t="shared" si="50"/>
        <v>0</v>
      </c>
    </row>
    <row r="183" spans="2:18" x14ac:dyDescent="0.35">
      <c r="B183" s="25">
        <v>2029</v>
      </c>
      <c r="C183" s="78">
        <v>9</v>
      </c>
      <c r="D183" s="135">
        <v>0</v>
      </c>
      <c r="E183" s="114">
        <v>0</v>
      </c>
      <c r="F183" s="136">
        <v>0</v>
      </c>
      <c r="G183" s="147">
        <f>INDEX(S1_BaseRefNGNoHydro!C$29:C$44,MATCH($B183,S1_BaseRefNGNoHydro!$B$8:$B$23,0))*INDEX(RefTables!$D$238:$D$249,$C183)*10^6</f>
        <v>9705567.8993486147</v>
      </c>
      <c r="H183" s="34">
        <f>Inputs_AnnualElectric!D210</f>
        <v>21667170</v>
      </c>
      <c r="I183" s="34">
        <f>-INDEX(Inputs_SupplyCurve!$AA$9:$AA$24,MATCH($B183,Inputs_SupplyCurve!$S$9:$S$24,0))*INDEX(RefTables!$D$238:$D$249,$C183)</f>
        <v>-1078516.8027960963</v>
      </c>
      <c r="J183" s="34">
        <f t="shared" si="43"/>
        <v>30294221.096552521</v>
      </c>
      <c r="K183" s="149">
        <f t="shared" si="44"/>
        <v>0</v>
      </c>
      <c r="L183" s="150">
        <f t="shared" si="45"/>
        <v>0</v>
      </c>
      <c r="M183" s="150">
        <f t="shared" si="46"/>
        <v>0</v>
      </c>
      <c r="N183" s="150">
        <f t="shared" si="47"/>
        <v>0</v>
      </c>
      <c r="O183" s="150">
        <f t="shared" si="47"/>
        <v>0</v>
      </c>
      <c r="P183" s="150">
        <f t="shared" si="48"/>
        <v>0</v>
      </c>
      <c r="Q183" s="150">
        <f t="shared" si="49"/>
        <v>0</v>
      </c>
      <c r="R183" s="186">
        <f t="shared" si="50"/>
        <v>0</v>
      </c>
    </row>
    <row r="184" spans="2:18" x14ac:dyDescent="0.35">
      <c r="B184" s="25">
        <v>2029</v>
      </c>
      <c r="C184" s="78">
        <v>10</v>
      </c>
      <c r="D184" s="135">
        <v>0</v>
      </c>
      <c r="E184" s="114">
        <v>0</v>
      </c>
      <c r="F184" s="136">
        <v>0</v>
      </c>
      <c r="G184" s="147">
        <f>INDEX(S1_BaseRefNGNoHydro!C$29:C$44,MATCH($B184,S1_BaseRefNGNoHydro!$B$8:$B$23,0))*INDEX(RefTables!$D$238:$D$249,$C184)*10^6</f>
        <v>17228362.478823844</v>
      </c>
      <c r="H184" s="34">
        <f>Inputs_AnnualElectric!D211</f>
        <v>22341250</v>
      </c>
      <c r="I184" s="34">
        <f>-INDEX(Inputs_SupplyCurve!$AA$9:$AA$24,MATCH($B184,Inputs_SupplyCurve!$S$9:$S$24,0))*INDEX(RefTables!$D$238:$D$249,$C184)</f>
        <v>-1914476.1657193066</v>
      </c>
      <c r="J184" s="34">
        <f t="shared" si="43"/>
        <v>37655136.313104533</v>
      </c>
      <c r="K184" s="149">
        <f t="shared" si="44"/>
        <v>0</v>
      </c>
      <c r="L184" s="150">
        <f t="shared" si="45"/>
        <v>0</v>
      </c>
      <c r="M184" s="150">
        <f t="shared" si="46"/>
        <v>0</v>
      </c>
      <c r="N184" s="150">
        <f t="shared" si="47"/>
        <v>0</v>
      </c>
      <c r="O184" s="150">
        <f t="shared" si="47"/>
        <v>0</v>
      </c>
      <c r="P184" s="150">
        <f t="shared" si="48"/>
        <v>0</v>
      </c>
      <c r="Q184" s="150">
        <f t="shared" si="49"/>
        <v>0</v>
      </c>
      <c r="R184" s="186">
        <f t="shared" si="50"/>
        <v>0</v>
      </c>
    </row>
    <row r="185" spans="2:18" x14ac:dyDescent="0.35">
      <c r="B185" s="25">
        <v>2029</v>
      </c>
      <c r="C185" s="78">
        <v>11</v>
      </c>
      <c r="D185" s="135">
        <v>-3.2988634361233453</v>
      </c>
      <c r="E185" s="114">
        <v>-3.2988634361233471</v>
      </c>
      <c r="F185" s="136">
        <v>-3.2988634361233418</v>
      </c>
      <c r="G185" s="147">
        <f>INDEX(S1_BaseRefNGNoHydro!C$29:C$44,MATCH($B185,S1_BaseRefNGNoHydro!$B$8:$B$23,0))*INDEX(RefTables!$D$238:$D$249,$C185)*10^6</f>
        <v>27382395.365059935</v>
      </c>
      <c r="H185" s="34">
        <f>Inputs_AnnualElectric!D212</f>
        <v>21733600</v>
      </c>
      <c r="I185" s="34">
        <f>-INDEX(Inputs_SupplyCurve!$AA$9:$AA$24,MATCH($B185,Inputs_SupplyCurve!$S$9:$S$24,0))*INDEX(RefTables!$D$238:$D$249,$C185)</f>
        <v>-3042827.9734156658</v>
      </c>
      <c r="J185" s="34">
        <f t="shared" si="43"/>
        <v>46073167.391644269</v>
      </c>
      <c r="K185" s="149">
        <f t="shared" si="44"/>
        <v>-151.98908729468573</v>
      </c>
      <c r="L185" s="150">
        <f t="shared" si="45"/>
        <v>-151.98908729468567</v>
      </c>
      <c r="M185" s="150">
        <f t="shared" si="46"/>
        <v>-151.9890872946855</v>
      </c>
      <c r="N185" s="150">
        <f t="shared" si="47"/>
        <v>-151.98908729468573</v>
      </c>
      <c r="O185" s="150">
        <f t="shared" si="47"/>
        <v>-151.98908729468573</v>
      </c>
      <c r="P185" s="150">
        <f t="shared" si="48"/>
        <v>-151.98908729468567</v>
      </c>
      <c r="Q185" s="150">
        <f t="shared" si="49"/>
        <v>-151.9890872946855</v>
      </c>
      <c r="R185" s="186">
        <f t="shared" si="50"/>
        <v>-151.98908729468573</v>
      </c>
    </row>
    <row r="186" spans="2:18" x14ac:dyDescent="0.35">
      <c r="B186" s="25">
        <v>2029</v>
      </c>
      <c r="C186" s="78">
        <v>12</v>
      </c>
      <c r="D186" s="135">
        <v>-9.351734403865283</v>
      </c>
      <c r="E186" s="114">
        <v>-9.351734403865283</v>
      </c>
      <c r="F186" s="136">
        <v>-9.3517344038652777</v>
      </c>
      <c r="G186" s="147">
        <f>INDEX(S1_BaseRefNGNoHydro!C$29:C$44,MATCH($B186,S1_BaseRefNGNoHydro!$B$8:$B$23,0))*INDEX(RefTables!$D$238:$D$249,$C186)*10^6</f>
        <v>42427849.718824081</v>
      </c>
      <c r="H186" s="34">
        <f>Inputs_AnnualElectric!D213</f>
        <v>23216380</v>
      </c>
      <c r="I186" s="34">
        <f>-INDEX(Inputs_SupplyCurve!$AA$9:$AA$24,MATCH($B186,Inputs_SupplyCurve!$S$9:$S$24,0))*INDEX(RefTables!$D$238:$D$249,$C186)</f>
        <v>-4714731.719236182</v>
      </c>
      <c r="J186" s="34">
        <f t="shared" si="43"/>
        <v>60929497.999587901</v>
      </c>
      <c r="K186" s="149">
        <f t="shared" si="44"/>
        <v>-569.79648265298715</v>
      </c>
      <c r="L186" s="150">
        <f t="shared" si="45"/>
        <v>-569.79648265298715</v>
      </c>
      <c r="M186" s="150">
        <f t="shared" si="46"/>
        <v>-569.7964826529867</v>
      </c>
      <c r="N186" s="150">
        <f t="shared" si="47"/>
        <v>-569.79648265298715</v>
      </c>
      <c r="O186" s="150">
        <f t="shared" si="47"/>
        <v>-569.79648265298715</v>
      </c>
      <c r="P186" s="150">
        <f t="shared" si="48"/>
        <v>-569.79648265298715</v>
      </c>
      <c r="Q186" s="150">
        <f t="shared" si="49"/>
        <v>-569.7964826529867</v>
      </c>
      <c r="R186" s="186">
        <f t="shared" si="50"/>
        <v>-569.79648265298715</v>
      </c>
    </row>
    <row r="187" spans="2:18" x14ac:dyDescent="0.35">
      <c r="B187" s="25">
        <v>2030</v>
      </c>
      <c r="C187" s="78">
        <v>1</v>
      </c>
      <c r="D187" s="135">
        <v>-19.735024726445932</v>
      </c>
      <c r="E187" s="114">
        <v>-19.735024726445928</v>
      </c>
      <c r="F187" s="136">
        <v>-19.735024726445932</v>
      </c>
      <c r="G187" s="147">
        <f>INDEX(S1_BaseRefNGNoHydro!C$29:C$44,MATCH($B187,S1_BaseRefNGNoHydro!$B$8:$B$23,0))*INDEX(RefTables!$D$238:$D$249,$C187)*10^6</f>
        <v>49277587.417655036</v>
      </c>
      <c r="H187" s="34">
        <f>Inputs_AnnualElectric!D214</f>
        <v>26695880</v>
      </c>
      <c r="I187" s="34">
        <f>-INDEX(Inputs_SupplyCurve!$AA$9:$AA$24,MATCH($B187,Inputs_SupplyCurve!$S$9:$S$24,0))*INDEX(RefTables!$D$238:$D$249,$C187)</f>
        <v>-5464544.9969650628</v>
      </c>
      <c r="J187" s="34">
        <f t="shared" si="43"/>
        <v>70508922.42068997</v>
      </c>
      <c r="K187" s="149">
        <f t="shared" si="44"/>
        <v>-1391.4953274073744</v>
      </c>
      <c r="L187" s="150">
        <f t="shared" si="45"/>
        <v>-1391.4953274073746</v>
      </c>
      <c r="M187" s="150">
        <f t="shared" si="46"/>
        <v>-1391.4953274073746</v>
      </c>
      <c r="N187" s="150">
        <f t="shared" ref="N187:O198" si="51">$J187*$E187*10^-6</f>
        <v>-1391.4953274073744</v>
      </c>
      <c r="O187" s="150">
        <f t="shared" si="51"/>
        <v>-1391.4953274073744</v>
      </c>
      <c r="P187" s="150">
        <f t="shared" si="48"/>
        <v>-1391.4953274073746</v>
      </c>
      <c r="Q187" s="150">
        <f t="shared" si="49"/>
        <v>-1391.4953274073746</v>
      </c>
      <c r="R187" s="186">
        <f t="shared" si="50"/>
        <v>-1391.4953274073744</v>
      </c>
    </row>
    <row r="188" spans="2:18" x14ac:dyDescent="0.35">
      <c r="B188" s="25">
        <v>2030</v>
      </c>
      <c r="C188" s="78">
        <v>2</v>
      </c>
      <c r="D188" s="135">
        <v>-14.661720578980493</v>
      </c>
      <c r="E188" s="114">
        <v>-14.661720578980489</v>
      </c>
      <c r="F188" s="136">
        <v>-14.661720578980489</v>
      </c>
      <c r="G188" s="147">
        <f>INDEX(S1_BaseRefNGNoHydro!C$29:C$44,MATCH($B188,S1_BaseRefNGNoHydro!$B$8:$B$23,0))*INDEX(RefTables!$D$238:$D$249,$C188)*10^6</f>
        <v>42799872.355651371</v>
      </c>
      <c r="H188" s="34">
        <f>Inputs_AnnualElectric!D215</f>
        <v>21457220</v>
      </c>
      <c r="I188" s="34">
        <f>-INDEX(Inputs_SupplyCurve!$AA$9:$AA$24,MATCH($B188,Inputs_SupplyCurve!$S$9:$S$24,0))*INDEX(RefTables!$D$238:$D$249,$C188)</f>
        <v>-4746211.0181965511</v>
      </c>
      <c r="J188" s="34">
        <f t="shared" si="43"/>
        <v>59510881.337454818</v>
      </c>
      <c r="K188" s="149">
        <f t="shared" si="44"/>
        <v>-872.53191357862715</v>
      </c>
      <c r="L188" s="150">
        <f t="shared" si="45"/>
        <v>-872.53191357862738</v>
      </c>
      <c r="M188" s="150">
        <f t="shared" si="46"/>
        <v>-872.53191357862715</v>
      </c>
      <c r="N188" s="150">
        <f t="shared" si="51"/>
        <v>-872.53191357862715</v>
      </c>
      <c r="O188" s="150">
        <f t="shared" si="51"/>
        <v>-872.53191357862715</v>
      </c>
      <c r="P188" s="150">
        <f t="shared" si="48"/>
        <v>-872.53191357862738</v>
      </c>
      <c r="Q188" s="150">
        <f t="shared" si="49"/>
        <v>-872.53191357862715</v>
      </c>
      <c r="R188" s="186">
        <f t="shared" si="50"/>
        <v>-872.53191357862715</v>
      </c>
    </row>
    <row r="189" spans="2:18" x14ac:dyDescent="0.35">
      <c r="B189" s="25">
        <v>2030</v>
      </c>
      <c r="C189" s="78">
        <v>3</v>
      </c>
      <c r="D189" s="135">
        <v>-10.900927952252381</v>
      </c>
      <c r="E189" s="114">
        <v>-10.900927952252378</v>
      </c>
      <c r="F189" s="136">
        <v>-10.900927952252388</v>
      </c>
      <c r="G189" s="147">
        <f>INDEX(S1_BaseRefNGNoHydro!C$29:C$44,MATCH($B189,S1_BaseRefNGNoHydro!$B$8:$B$23,0))*INDEX(RefTables!$D$238:$D$249,$C189)*10^6</f>
        <v>38333336.721994676</v>
      </c>
      <c r="H189" s="34">
        <f>Inputs_AnnualElectric!D216</f>
        <v>21067950</v>
      </c>
      <c r="I189" s="34">
        <f>-INDEX(Inputs_SupplyCurve!$AA$9:$AA$24,MATCH($B189,Inputs_SupplyCurve!$S$9:$S$24,0))*INDEX(RefTables!$D$238:$D$249,$C189)</f>
        <v>-4250902.9840633655</v>
      </c>
      <c r="J189" s="34">
        <f t="shared" si="43"/>
        <v>55150383.737931311</v>
      </c>
      <c r="K189" s="149">
        <f t="shared" si="44"/>
        <v>-601.19035966626029</v>
      </c>
      <c r="L189" s="150">
        <f t="shared" si="45"/>
        <v>-601.19035966626052</v>
      </c>
      <c r="M189" s="150">
        <f t="shared" si="46"/>
        <v>-601.19035966626097</v>
      </c>
      <c r="N189" s="150">
        <f t="shared" si="51"/>
        <v>-601.19035966626029</v>
      </c>
      <c r="O189" s="150">
        <f t="shared" si="51"/>
        <v>-601.19035966626029</v>
      </c>
      <c r="P189" s="150">
        <f t="shared" si="48"/>
        <v>-601.19035966626052</v>
      </c>
      <c r="Q189" s="150">
        <f t="shared" si="49"/>
        <v>-601.19035966626097</v>
      </c>
      <c r="R189" s="186">
        <f t="shared" si="50"/>
        <v>-601.19035966626029</v>
      </c>
    </row>
    <row r="190" spans="2:18" x14ac:dyDescent="0.35">
      <c r="B190" s="25">
        <v>2030</v>
      </c>
      <c r="C190" s="78">
        <v>4</v>
      </c>
      <c r="D190" s="135">
        <v>0</v>
      </c>
      <c r="E190" s="114">
        <v>0</v>
      </c>
      <c r="F190" s="136">
        <v>0</v>
      </c>
      <c r="G190" s="147">
        <f>INDEX(S1_BaseRefNGNoHydro!C$29:C$44,MATCH($B190,S1_BaseRefNGNoHydro!$B$8:$B$23,0))*INDEX(RefTables!$D$238:$D$249,$C190)*10^6</f>
        <v>24872829.276925147</v>
      </c>
      <c r="H190" s="34">
        <f>Inputs_AnnualElectric!D217</f>
        <v>18199860</v>
      </c>
      <c r="I190" s="34">
        <f>-INDEX(Inputs_SupplyCurve!$AA$9:$AA$24,MATCH($B190,Inputs_SupplyCurve!$S$9:$S$24,0))*INDEX(RefTables!$D$238:$D$249,$C190)</f>
        <v>-2758225.430835335</v>
      </c>
      <c r="J190" s="34">
        <f t="shared" si="43"/>
        <v>40314463.84608981</v>
      </c>
      <c r="K190" s="149">
        <f t="shared" si="44"/>
        <v>0</v>
      </c>
      <c r="L190" s="150">
        <f t="shared" si="45"/>
        <v>0</v>
      </c>
      <c r="M190" s="150">
        <f t="shared" si="46"/>
        <v>0</v>
      </c>
      <c r="N190" s="150">
        <f t="shared" si="51"/>
        <v>0</v>
      </c>
      <c r="O190" s="150">
        <f t="shared" si="51"/>
        <v>0</v>
      </c>
      <c r="P190" s="150">
        <f t="shared" si="48"/>
        <v>0</v>
      </c>
      <c r="Q190" s="150">
        <f t="shared" si="49"/>
        <v>0</v>
      </c>
      <c r="R190" s="186">
        <f t="shared" si="50"/>
        <v>0</v>
      </c>
    </row>
    <row r="191" spans="2:18" x14ac:dyDescent="0.35">
      <c r="B191" s="25">
        <v>2030</v>
      </c>
      <c r="C191" s="78">
        <v>5</v>
      </c>
      <c r="D191" s="135">
        <v>0</v>
      </c>
      <c r="E191" s="114">
        <v>0</v>
      </c>
      <c r="F191" s="136">
        <v>0</v>
      </c>
      <c r="G191" s="147">
        <f>INDEX(S1_BaseRefNGNoHydro!C$29:C$44,MATCH($B191,S1_BaseRefNGNoHydro!$B$8:$B$23,0))*INDEX(RefTables!$D$238:$D$249,$C191)*10^6</f>
        <v>14814100.99775546</v>
      </c>
      <c r="H191" s="34">
        <f>Inputs_AnnualElectric!D218</f>
        <v>16514660</v>
      </c>
      <c r="I191" s="34">
        <f>-INDEX(Inputs_SupplyCurve!$AA$9:$AA$24,MATCH($B191,Inputs_SupplyCurve!$S$9:$S$24,0))*INDEX(RefTables!$D$238:$D$249,$C191)</f>
        <v>-1642781.754019402</v>
      </c>
      <c r="J191" s="34">
        <f t="shared" si="43"/>
        <v>29685979.243736058</v>
      </c>
      <c r="K191" s="149">
        <f t="shared" si="44"/>
        <v>0</v>
      </c>
      <c r="L191" s="150">
        <f t="shared" si="45"/>
        <v>0</v>
      </c>
      <c r="M191" s="150">
        <f t="shared" si="46"/>
        <v>0</v>
      </c>
      <c r="N191" s="150">
        <f t="shared" si="51"/>
        <v>0</v>
      </c>
      <c r="O191" s="150">
        <f t="shared" si="51"/>
        <v>0</v>
      </c>
      <c r="P191" s="150">
        <f t="shared" si="48"/>
        <v>0</v>
      </c>
      <c r="Q191" s="150">
        <f t="shared" si="49"/>
        <v>0</v>
      </c>
      <c r="R191" s="186">
        <f t="shared" si="50"/>
        <v>0</v>
      </c>
    </row>
    <row r="192" spans="2:18" x14ac:dyDescent="0.35">
      <c r="B192" s="25">
        <v>2030</v>
      </c>
      <c r="C192" s="78">
        <v>6</v>
      </c>
      <c r="D192" s="135">
        <v>0</v>
      </c>
      <c r="E192" s="114">
        <v>0</v>
      </c>
      <c r="F192" s="136">
        <v>0</v>
      </c>
      <c r="G192" s="147">
        <f>INDEX(S1_BaseRefNGNoHydro!C$29:C$44,MATCH($B192,S1_BaseRefNGNoHydro!$B$8:$B$23,0))*INDEX(RefTables!$D$238:$D$249,$C192)*10^6</f>
        <v>9468290.6680921875</v>
      </c>
      <c r="H192" s="34">
        <f>Inputs_AnnualElectric!D219</f>
        <v>20845170</v>
      </c>
      <c r="I192" s="34">
        <f>-INDEX(Inputs_SupplyCurve!$AA$9:$AA$24,MATCH($B192,Inputs_SupplyCurve!$S$9:$S$24,0))*INDEX(RefTables!$D$238:$D$249,$C192)</f>
        <v>-1049968.2129648444</v>
      </c>
      <c r="J192" s="34">
        <f t="shared" si="43"/>
        <v>29263492.455127344</v>
      </c>
      <c r="K192" s="149">
        <f t="shared" si="44"/>
        <v>0</v>
      </c>
      <c r="L192" s="150">
        <f t="shared" si="45"/>
        <v>0</v>
      </c>
      <c r="M192" s="150">
        <f t="shared" si="46"/>
        <v>0</v>
      </c>
      <c r="N192" s="150">
        <f t="shared" si="51"/>
        <v>0</v>
      </c>
      <c r="O192" s="150">
        <f t="shared" si="51"/>
        <v>0</v>
      </c>
      <c r="P192" s="150">
        <f t="shared" si="48"/>
        <v>0</v>
      </c>
      <c r="Q192" s="150">
        <f t="shared" si="49"/>
        <v>0</v>
      </c>
      <c r="R192" s="186">
        <f t="shared" si="50"/>
        <v>0</v>
      </c>
    </row>
    <row r="193" spans="2:18" x14ac:dyDescent="0.35">
      <c r="B193" s="25">
        <v>2030</v>
      </c>
      <c r="C193" s="78">
        <v>7</v>
      </c>
      <c r="D193" s="135">
        <v>0</v>
      </c>
      <c r="E193" s="114">
        <v>0</v>
      </c>
      <c r="F193" s="136">
        <v>0</v>
      </c>
      <c r="G193" s="147">
        <f>INDEX(S1_BaseRefNGNoHydro!C$29:C$44,MATCH($B193,S1_BaseRefNGNoHydro!$B$8:$B$23,0))*INDEX(RefTables!$D$238:$D$249,$C193)*10^6</f>
        <v>7958516.0600677887</v>
      </c>
      <c r="H193" s="34">
        <f>Inputs_AnnualElectric!D220</f>
        <v>27144190</v>
      </c>
      <c r="I193" s="34">
        <f>-INDEX(Inputs_SupplyCurve!$AA$9:$AA$24,MATCH($B193,Inputs_SupplyCurve!$S$9:$S$24,0))*INDEX(RefTables!$D$238:$D$249,$C193)</f>
        <v>-882544.60898644116</v>
      </c>
      <c r="J193" s="34">
        <f t="shared" si="43"/>
        <v>34220161.451081343</v>
      </c>
      <c r="K193" s="149">
        <f t="shared" si="44"/>
        <v>0</v>
      </c>
      <c r="L193" s="150">
        <f t="shared" si="45"/>
        <v>0</v>
      </c>
      <c r="M193" s="150">
        <f t="shared" si="46"/>
        <v>0</v>
      </c>
      <c r="N193" s="150">
        <f t="shared" si="51"/>
        <v>0</v>
      </c>
      <c r="O193" s="150">
        <f t="shared" si="51"/>
        <v>0</v>
      </c>
      <c r="P193" s="150">
        <f t="shared" si="48"/>
        <v>0</v>
      </c>
      <c r="Q193" s="150">
        <f t="shared" si="49"/>
        <v>0</v>
      </c>
      <c r="R193" s="186">
        <f t="shared" si="50"/>
        <v>0</v>
      </c>
    </row>
    <row r="194" spans="2:18" x14ac:dyDescent="0.35">
      <c r="B194" s="25">
        <v>2030</v>
      </c>
      <c r="C194" s="78">
        <v>8</v>
      </c>
      <c r="D194" s="135">
        <v>0</v>
      </c>
      <c r="E194" s="114">
        <v>0</v>
      </c>
      <c r="F194" s="136">
        <v>0</v>
      </c>
      <c r="G194" s="147">
        <f>INDEX(S1_BaseRefNGNoHydro!C$29:C$44,MATCH($B194,S1_BaseRefNGNoHydro!$B$8:$B$23,0))*INDEX(RefTables!$D$238:$D$249,$C194)*10^6</f>
        <v>8118329.5912774671</v>
      </c>
      <c r="H194" s="34">
        <f>Inputs_AnnualElectric!D221</f>
        <v>26308640</v>
      </c>
      <c r="I194" s="34">
        <f>-INDEX(Inputs_SupplyCurve!$AA$9:$AA$24,MATCH($B194,Inputs_SupplyCurve!$S$9:$S$24,0))*INDEX(RefTables!$D$238:$D$249,$C194)</f>
        <v>-900266.82872535405</v>
      </c>
      <c r="J194" s="34">
        <f t="shared" si="43"/>
        <v>33526702.762552112</v>
      </c>
      <c r="K194" s="149">
        <f t="shared" si="44"/>
        <v>0</v>
      </c>
      <c r="L194" s="150">
        <f t="shared" si="45"/>
        <v>0</v>
      </c>
      <c r="M194" s="150">
        <f t="shared" si="46"/>
        <v>0</v>
      </c>
      <c r="N194" s="150">
        <f t="shared" si="51"/>
        <v>0</v>
      </c>
      <c r="O194" s="150">
        <f t="shared" si="51"/>
        <v>0</v>
      </c>
      <c r="P194" s="150">
        <f t="shared" si="48"/>
        <v>0</v>
      </c>
      <c r="Q194" s="150">
        <f t="shared" si="49"/>
        <v>0</v>
      </c>
      <c r="R194" s="186">
        <f t="shared" si="50"/>
        <v>0</v>
      </c>
    </row>
    <row r="195" spans="2:18" x14ac:dyDescent="0.35">
      <c r="B195" s="25">
        <v>2030</v>
      </c>
      <c r="C195" s="78">
        <v>9</v>
      </c>
      <c r="D195" s="135">
        <v>0</v>
      </c>
      <c r="E195" s="114">
        <v>0</v>
      </c>
      <c r="F195" s="136">
        <v>0</v>
      </c>
      <c r="G195" s="147">
        <f>INDEX(S1_BaseRefNGNoHydro!C$29:C$44,MATCH($B195,S1_BaseRefNGNoHydro!$B$8:$B$23,0))*INDEX(RefTables!$D$238:$D$249,$C195)*10^6</f>
        <v>9753127.5109149646</v>
      </c>
      <c r="H195" s="34">
        <f>Inputs_AnnualElectric!D222</f>
        <v>20420130</v>
      </c>
      <c r="I195" s="34">
        <f>-INDEX(Inputs_SupplyCurve!$AA$9:$AA$24,MATCH($B195,Inputs_SupplyCurve!$S$9:$S$24,0))*INDEX(RefTables!$D$238:$D$249,$C195)</f>
        <v>-1081554.6567411253</v>
      </c>
      <c r="J195" s="34">
        <f t="shared" si="43"/>
        <v>29091702.854173843</v>
      </c>
      <c r="K195" s="149">
        <f t="shared" si="44"/>
        <v>0</v>
      </c>
      <c r="L195" s="150">
        <f t="shared" si="45"/>
        <v>0</v>
      </c>
      <c r="M195" s="150">
        <f t="shared" si="46"/>
        <v>0</v>
      </c>
      <c r="N195" s="150">
        <f t="shared" si="51"/>
        <v>0</v>
      </c>
      <c r="O195" s="150">
        <f t="shared" si="51"/>
        <v>0</v>
      </c>
      <c r="P195" s="150">
        <f t="shared" si="48"/>
        <v>0</v>
      </c>
      <c r="Q195" s="150">
        <f t="shared" si="49"/>
        <v>0</v>
      </c>
      <c r="R195" s="186">
        <f t="shared" si="50"/>
        <v>0</v>
      </c>
    </row>
    <row r="196" spans="2:18" x14ac:dyDescent="0.35">
      <c r="B196" s="25">
        <v>2030</v>
      </c>
      <c r="C196" s="78">
        <v>10</v>
      </c>
      <c r="D196" s="135">
        <v>0</v>
      </c>
      <c r="E196" s="114">
        <v>0</v>
      </c>
      <c r="F196" s="136">
        <v>0</v>
      </c>
      <c r="G196" s="147">
        <f>INDEX(S1_BaseRefNGNoHydro!C$29:C$44,MATCH($B196,S1_BaseRefNGNoHydro!$B$8:$B$23,0))*INDEX(RefTables!$D$238:$D$249,$C196)*10^6</f>
        <v>17312785.588930786</v>
      </c>
      <c r="H196" s="34">
        <f>Inputs_AnnualElectric!D223</f>
        <v>20186150</v>
      </c>
      <c r="I196" s="34">
        <f>-INDEX(Inputs_SupplyCurve!$AA$9:$AA$24,MATCH($B196,Inputs_SupplyCurve!$S$9:$S$24,0))*INDEX(RefTables!$D$238:$D$249,$C196)</f>
        <v>-1919868.6630430538</v>
      </c>
      <c r="J196" s="34">
        <f t="shared" si="43"/>
        <v>35579066.925887734</v>
      </c>
      <c r="K196" s="149">
        <f t="shared" si="44"/>
        <v>0</v>
      </c>
      <c r="L196" s="150">
        <f t="shared" si="45"/>
        <v>0</v>
      </c>
      <c r="M196" s="150">
        <f t="shared" si="46"/>
        <v>0</v>
      </c>
      <c r="N196" s="150">
        <f t="shared" si="51"/>
        <v>0</v>
      </c>
      <c r="O196" s="150">
        <f t="shared" si="51"/>
        <v>0</v>
      </c>
      <c r="P196" s="150">
        <f t="shared" si="48"/>
        <v>0</v>
      </c>
      <c r="Q196" s="150">
        <f t="shared" si="49"/>
        <v>0</v>
      </c>
      <c r="R196" s="186">
        <f t="shared" si="50"/>
        <v>0</v>
      </c>
    </row>
    <row r="197" spans="2:18" x14ac:dyDescent="0.35">
      <c r="B197" s="25">
        <v>2030</v>
      </c>
      <c r="C197" s="78">
        <v>11</v>
      </c>
      <c r="D197" s="135">
        <v>-3.2988634361233435</v>
      </c>
      <c r="E197" s="114">
        <v>-3.2988634361233462</v>
      </c>
      <c r="F197" s="136">
        <v>-3.2988634361233453</v>
      </c>
      <c r="G197" s="147">
        <f>INDEX(S1_BaseRefNGNoHydro!C$29:C$44,MATCH($B197,S1_BaseRefNGNoHydro!$B$8:$B$23,0))*INDEX(RefTables!$D$238:$D$249,$C197)*10^6</f>
        <v>27516575.672778543</v>
      </c>
      <c r="H197" s="34">
        <f>Inputs_AnnualElectric!D224</f>
        <v>19762610</v>
      </c>
      <c r="I197" s="34">
        <f>-INDEX(Inputs_SupplyCurve!$AA$9:$AA$24,MATCH($B197,Inputs_SupplyCurve!$S$9:$S$24,0))*INDEX(RefTables!$D$238:$D$249,$C197)</f>
        <v>-3051398.694742511</v>
      </c>
      <c r="J197" s="34">
        <f t="shared" si="43"/>
        <v>44227786.978036039</v>
      </c>
      <c r="K197" s="149">
        <f t="shared" si="44"/>
        <v>-145.90142932249535</v>
      </c>
      <c r="L197" s="150">
        <f t="shared" si="45"/>
        <v>-145.9014293224952</v>
      </c>
      <c r="M197" s="150">
        <f t="shared" si="46"/>
        <v>-145.90142932249532</v>
      </c>
      <c r="N197" s="150">
        <f t="shared" si="51"/>
        <v>-145.90142932249535</v>
      </c>
      <c r="O197" s="150">
        <f t="shared" si="51"/>
        <v>-145.90142932249535</v>
      </c>
      <c r="P197" s="150">
        <f t="shared" si="48"/>
        <v>-145.9014293224952</v>
      </c>
      <c r="Q197" s="150">
        <f t="shared" si="49"/>
        <v>-145.90142932249532</v>
      </c>
      <c r="R197" s="186">
        <f t="shared" si="50"/>
        <v>-145.90142932249535</v>
      </c>
    </row>
    <row r="198" spans="2:18" x14ac:dyDescent="0.35">
      <c r="B198" s="25">
        <v>2030</v>
      </c>
      <c r="C198" s="78">
        <v>12</v>
      </c>
      <c r="D198" s="135">
        <v>-9.3517344038652919</v>
      </c>
      <c r="E198" s="114">
        <v>-9.3517344038652883</v>
      </c>
      <c r="F198" s="136">
        <v>-9.3517344038652848</v>
      </c>
      <c r="G198" s="147">
        <f>INDEX(S1_BaseRefNGNoHydro!C$29:C$44,MATCH($B198,S1_BaseRefNGNoHydro!$B$8:$B$23,0))*INDEX(RefTables!$D$238:$D$249,$C198)*10^6</f>
        <v>42635756.36304611</v>
      </c>
      <c r="H198" s="34">
        <f>Inputs_AnnualElectric!D225</f>
        <v>22358060</v>
      </c>
      <c r="I198" s="34">
        <f>-INDEX(Inputs_SupplyCurve!$AA$9:$AA$24,MATCH($B198,Inputs_SupplyCurve!$S$9:$S$24,0))*INDEX(RefTables!$D$238:$D$249,$C198)</f>
        <v>-4728011.6851262851</v>
      </c>
      <c r="J198" s="34">
        <f t="shared" si="43"/>
        <v>60265804.677919827</v>
      </c>
      <c r="K198" s="149">
        <f t="shared" si="44"/>
        <v>-563.58979898312839</v>
      </c>
      <c r="L198" s="150">
        <f t="shared" si="45"/>
        <v>-563.58979898312862</v>
      </c>
      <c r="M198" s="150">
        <f t="shared" si="46"/>
        <v>-563.58979898312828</v>
      </c>
      <c r="N198" s="150">
        <f t="shared" si="51"/>
        <v>-563.58979898312839</v>
      </c>
      <c r="O198" s="150">
        <f t="shared" si="51"/>
        <v>-563.58979898312839</v>
      </c>
      <c r="P198" s="150">
        <f t="shared" si="48"/>
        <v>-563.58979898312862</v>
      </c>
      <c r="Q198" s="150">
        <f t="shared" si="49"/>
        <v>-563.58979898312828</v>
      </c>
      <c r="R198" s="186">
        <f t="shared" si="50"/>
        <v>-563.58979898312839</v>
      </c>
    </row>
  </sheetData>
  <mergeCells count="5">
    <mergeCell ref="K5:R5"/>
    <mergeCell ref="D5:F5"/>
    <mergeCell ref="B5:B6"/>
    <mergeCell ref="C5:C6"/>
    <mergeCell ref="G5:J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 tint="-0.499984740745262"/>
  </sheetPr>
  <dimension ref="B2:N49"/>
  <sheetViews>
    <sheetView showGridLines="0" zoomScale="85" zoomScaleNormal="85" workbookViewId="0">
      <selection activeCell="D45" sqref="D45:K45"/>
    </sheetView>
  </sheetViews>
  <sheetFormatPr defaultRowHeight="17.25" x14ac:dyDescent="0.35"/>
  <cols>
    <col min="1" max="1" width="2.625" customWidth="1"/>
    <col min="2" max="2" width="22.875" customWidth="1"/>
    <col min="3" max="11" width="19.5" customWidth="1"/>
    <col min="13" max="13" width="12" bestFit="1" customWidth="1"/>
  </cols>
  <sheetData>
    <row r="2" spans="2:14" ht="24.75" x14ac:dyDescent="0.5">
      <c r="B2" s="198" t="s">
        <v>386</v>
      </c>
    </row>
    <row r="3" spans="2:14" x14ac:dyDescent="0.35">
      <c r="B3" t="s">
        <v>40</v>
      </c>
      <c r="C3" t="s">
        <v>385</v>
      </c>
    </row>
    <row r="5" spans="2:14" x14ac:dyDescent="0.35">
      <c r="B5" s="199" t="s">
        <v>387</v>
      </c>
      <c r="C5" s="200"/>
      <c r="D5" s="201"/>
      <c r="E5" s="202"/>
      <c r="F5" s="470"/>
      <c r="G5" s="471"/>
      <c r="H5" s="471"/>
      <c r="I5" s="471"/>
      <c r="J5" s="472"/>
      <c r="K5" s="203"/>
      <c r="N5" t="s">
        <v>410</v>
      </c>
    </row>
    <row r="6" spans="2:14" ht="30" x14ac:dyDescent="0.35">
      <c r="B6" s="204"/>
      <c r="C6" s="205" t="s">
        <v>388</v>
      </c>
      <c r="D6" s="206" t="s">
        <v>389</v>
      </c>
      <c r="E6" s="207" t="s">
        <v>390</v>
      </c>
      <c r="F6" s="207" t="s">
        <v>391</v>
      </c>
      <c r="G6" s="208" t="s">
        <v>392</v>
      </c>
      <c r="H6" s="208" t="s">
        <v>393</v>
      </c>
      <c r="I6" s="208" t="s">
        <v>394</v>
      </c>
      <c r="J6" s="205" t="s">
        <v>395</v>
      </c>
      <c r="K6" s="208" t="s">
        <v>396</v>
      </c>
    </row>
    <row r="7" spans="2:14" x14ac:dyDescent="0.35">
      <c r="B7" s="199" t="s">
        <v>397</v>
      </c>
      <c r="C7" s="200"/>
      <c r="D7" s="209" t="s">
        <v>259</v>
      </c>
      <c r="E7" s="209" t="s">
        <v>259</v>
      </c>
      <c r="F7" s="210" t="s">
        <v>259</v>
      </c>
      <c r="G7" s="211" t="s">
        <v>259</v>
      </c>
      <c r="H7" s="211" t="s">
        <v>398</v>
      </c>
      <c r="I7" s="211" t="s">
        <v>399</v>
      </c>
      <c r="J7" s="212" t="s">
        <v>400</v>
      </c>
      <c r="K7" s="211"/>
      <c r="L7" s="248" t="s">
        <v>418</v>
      </c>
      <c r="M7" s="248" t="s">
        <v>419</v>
      </c>
    </row>
    <row r="8" spans="2:14" x14ac:dyDescent="0.35">
      <c r="B8" s="213" t="s">
        <v>403</v>
      </c>
      <c r="C8" s="214" t="s">
        <v>402</v>
      </c>
      <c r="D8" s="215">
        <v>0</v>
      </c>
      <c r="E8" s="216" t="s">
        <v>401</v>
      </c>
      <c r="F8" s="216" t="s">
        <v>401</v>
      </c>
      <c r="G8" s="217" t="s">
        <v>401</v>
      </c>
      <c r="H8" s="217" t="s">
        <v>401</v>
      </c>
      <c r="I8" s="217" t="s">
        <v>401</v>
      </c>
      <c r="J8" s="214" t="s">
        <v>401</v>
      </c>
      <c r="K8" s="217" t="s">
        <v>401</v>
      </c>
      <c r="N8" s="113"/>
    </row>
    <row r="9" spans="2:14" x14ac:dyDescent="0.35">
      <c r="B9" s="213" t="s">
        <v>405</v>
      </c>
      <c r="C9" s="214" t="s">
        <v>402</v>
      </c>
      <c r="D9" s="223">
        <v>29433.600000000002</v>
      </c>
      <c r="E9" s="218">
        <v>29433.600000000002</v>
      </c>
      <c r="F9" s="224">
        <v>1</v>
      </c>
      <c r="G9" s="225">
        <v>150</v>
      </c>
      <c r="H9" s="225">
        <v>150</v>
      </c>
      <c r="I9" s="221">
        <v>450</v>
      </c>
      <c r="J9" s="226">
        <v>3</v>
      </c>
      <c r="K9" s="227">
        <v>29433.600000000002</v>
      </c>
      <c r="L9" s="113"/>
      <c r="N9" s="188">
        <f>F9/1000</f>
        <v>1E-3</v>
      </c>
    </row>
    <row r="10" spans="2:14" x14ac:dyDescent="0.35">
      <c r="B10" s="213" t="s">
        <v>107</v>
      </c>
      <c r="C10" s="214" t="s">
        <v>402</v>
      </c>
      <c r="D10" s="215">
        <v>190</v>
      </c>
      <c r="E10" s="215">
        <v>5040</v>
      </c>
      <c r="F10" s="216">
        <v>0.76</v>
      </c>
      <c r="G10" s="220">
        <v>20.16</v>
      </c>
      <c r="H10" s="217">
        <v>24</v>
      </c>
      <c r="I10" s="221">
        <v>1326.3157894736842</v>
      </c>
      <c r="J10" s="228">
        <v>65.78947368421052</v>
      </c>
      <c r="K10" s="227">
        <v>250</v>
      </c>
      <c r="L10" s="113"/>
      <c r="N10" s="188">
        <f>F10/1000</f>
        <v>7.6000000000000004E-4</v>
      </c>
    </row>
    <row r="11" spans="2:14" x14ac:dyDescent="0.35">
      <c r="B11" s="213" t="s">
        <v>108</v>
      </c>
      <c r="C11" s="214" t="s">
        <v>402</v>
      </c>
      <c r="D11" s="215">
        <v>0</v>
      </c>
      <c r="E11" s="216" t="s">
        <v>401</v>
      </c>
      <c r="F11" s="216" t="s">
        <v>401</v>
      </c>
      <c r="G11" s="217" t="s">
        <v>401</v>
      </c>
      <c r="H11" s="217" t="s">
        <v>401</v>
      </c>
      <c r="I11" s="217" t="s">
        <v>401</v>
      </c>
      <c r="J11" s="214" t="s">
        <v>401</v>
      </c>
      <c r="K11" s="217" t="s">
        <v>401</v>
      </c>
      <c r="N11" s="188"/>
    </row>
    <row r="12" spans="2:14" x14ac:dyDescent="0.35">
      <c r="B12" s="213" t="s">
        <v>109</v>
      </c>
      <c r="C12" s="214" t="s">
        <v>402</v>
      </c>
      <c r="D12" s="215">
        <v>288.8</v>
      </c>
      <c r="E12" s="220">
        <v>52560</v>
      </c>
      <c r="F12" s="229">
        <v>288.8</v>
      </c>
      <c r="G12" s="220">
        <v>52560</v>
      </c>
      <c r="H12" s="230">
        <v>181.99445983379502</v>
      </c>
      <c r="I12" s="231">
        <v>20051424.658675205</v>
      </c>
      <c r="J12" s="228">
        <v>381.49590294283115</v>
      </c>
      <c r="K12" s="217">
        <v>1</v>
      </c>
      <c r="N12" s="188">
        <f>F12/1000</f>
        <v>0.2888</v>
      </c>
    </row>
    <row r="13" spans="2:14" x14ac:dyDescent="0.35">
      <c r="B13" s="213"/>
      <c r="C13" s="214"/>
      <c r="D13" s="232"/>
      <c r="E13" s="216"/>
      <c r="F13" s="216"/>
      <c r="G13" s="233"/>
      <c r="H13" s="217"/>
      <c r="I13" s="217"/>
      <c r="J13" s="214"/>
      <c r="K13" s="217"/>
      <c r="N13" s="189"/>
    </row>
    <row r="14" spans="2:14" x14ac:dyDescent="0.35">
      <c r="B14" s="199" t="s">
        <v>406</v>
      </c>
      <c r="C14" s="200"/>
      <c r="D14" s="209"/>
      <c r="E14" s="210"/>
      <c r="F14" s="210"/>
      <c r="G14" s="211"/>
      <c r="H14" s="211"/>
      <c r="I14" s="211"/>
      <c r="J14" s="212"/>
      <c r="K14" s="211"/>
      <c r="N14" s="189"/>
    </row>
    <row r="15" spans="2:14" x14ac:dyDescent="0.35">
      <c r="B15" s="213" t="s">
        <v>403</v>
      </c>
      <c r="C15" s="214" t="s">
        <v>402</v>
      </c>
      <c r="D15" s="215" t="s">
        <v>404</v>
      </c>
      <c r="E15" s="215" t="s">
        <v>404</v>
      </c>
      <c r="F15" s="219">
        <v>4166.6666666666661</v>
      </c>
      <c r="G15" s="220">
        <v>36500000</v>
      </c>
      <c r="H15" s="217" t="s">
        <v>401</v>
      </c>
      <c r="I15" s="231">
        <v>51100000</v>
      </c>
      <c r="J15" s="222">
        <v>1.4</v>
      </c>
      <c r="K15" s="220" t="s">
        <v>404</v>
      </c>
      <c r="L15" s="113">
        <v>20</v>
      </c>
      <c r="M15" s="249">
        <v>4969055.851424004</v>
      </c>
      <c r="N15" s="188">
        <f t="shared" ref="N15:N19" si="0">F15/1000</f>
        <v>4.1666666666666661</v>
      </c>
    </row>
    <row r="16" spans="2:14" x14ac:dyDescent="0.35">
      <c r="B16" s="213" t="s">
        <v>405</v>
      </c>
      <c r="C16" s="214" t="s">
        <v>402</v>
      </c>
      <c r="D16" s="215">
        <v>0</v>
      </c>
      <c r="E16" s="216" t="s">
        <v>401</v>
      </c>
      <c r="F16" s="216" t="s">
        <v>401</v>
      </c>
      <c r="G16" s="217" t="s">
        <v>401</v>
      </c>
      <c r="H16" s="217" t="s">
        <v>401</v>
      </c>
      <c r="I16" s="217" t="s">
        <v>401</v>
      </c>
      <c r="J16" s="214" t="s">
        <v>401</v>
      </c>
      <c r="K16" s="217" t="s">
        <v>401</v>
      </c>
      <c r="M16" s="249"/>
      <c r="N16" s="188"/>
    </row>
    <row r="17" spans="2:14" x14ac:dyDescent="0.35">
      <c r="B17" s="213" t="s">
        <v>107</v>
      </c>
      <c r="C17" s="214" t="s">
        <v>402</v>
      </c>
      <c r="D17" s="215">
        <v>190</v>
      </c>
      <c r="E17" s="215">
        <v>5040</v>
      </c>
      <c r="F17" s="216">
        <v>0.76</v>
      </c>
      <c r="G17" s="220">
        <v>20.16</v>
      </c>
      <c r="H17" s="217">
        <v>24</v>
      </c>
      <c r="I17" s="221">
        <v>1326.3157894736842</v>
      </c>
      <c r="J17" s="228">
        <v>65.78947368421052</v>
      </c>
      <c r="K17" s="220">
        <v>250</v>
      </c>
      <c r="M17" s="249"/>
      <c r="N17" s="188">
        <f t="shared" si="0"/>
        <v>7.6000000000000004E-4</v>
      </c>
    </row>
    <row r="18" spans="2:14" x14ac:dyDescent="0.35">
      <c r="B18" s="213" t="s">
        <v>108</v>
      </c>
      <c r="C18" s="214" t="s">
        <v>402</v>
      </c>
      <c r="D18" s="215">
        <v>4043.2</v>
      </c>
      <c r="E18" s="220">
        <v>367920</v>
      </c>
      <c r="F18" s="219">
        <v>2021.6</v>
      </c>
      <c r="G18" s="220">
        <v>183960</v>
      </c>
      <c r="H18" s="230">
        <v>181.99445983379502</v>
      </c>
      <c r="I18" s="231">
        <v>94466330.467902854</v>
      </c>
      <c r="J18" s="228">
        <v>256.75780188057962</v>
      </c>
      <c r="K18" s="217">
        <v>2</v>
      </c>
      <c r="M18" s="249"/>
      <c r="N18" s="188">
        <f t="shared" si="0"/>
        <v>2.0215999999999998</v>
      </c>
    </row>
    <row r="19" spans="2:14" x14ac:dyDescent="0.35">
      <c r="B19" s="213" t="s">
        <v>109</v>
      </c>
      <c r="C19" s="214" t="s">
        <v>402</v>
      </c>
      <c r="D19" s="215">
        <v>1444</v>
      </c>
      <c r="E19" s="220">
        <v>52560</v>
      </c>
      <c r="F19" s="219">
        <v>288.8</v>
      </c>
      <c r="G19" s="220">
        <v>10512</v>
      </c>
      <c r="H19" s="230">
        <v>181.99445983379502</v>
      </c>
      <c r="I19" s="231">
        <v>19153973.425741442</v>
      </c>
      <c r="J19" s="228">
        <v>364.42110779568952</v>
      </c>
      <c r="K19" s="217">
        <v>5</v>
      </c>
      <c r="M19" s="249"/>
      <c r="N19" s="188">
        <f t="shared" si="0"/>
        <v>0.2888</v>
      </c>
    </row>
    <row r="20" spans="2:14" x14ac:dyDescent="0.35">
      <c r="B20" s="213"/>
      <c r="C20" s="214"/>
      <c r="D20" s="232"/>
      <c r="E20" s="216"/>
      <c r="F20" s="216"/>
      <c r="G20" s="217"/>
      <c r="H20" s="217"/>
      <c r="I20" s="217"/>
      <c r="J20" s="214"/>
      <c r="K20" s="217"/>
      <c r="M20" s="249"/>
      <c r="N20" s="189"/>
    </row>
    <row r="21" spans="2:14" x14ac:dyDescent="0.35">
      <c r="B21" s="199" t="s">
        <v>407</v>
      </c>
      <c r="C21" s="200"/>
      <c r="D21" s="209"/>
      <c r="E21" s="210"/>
      <c r="F21" s="210"/>
      <c r="G21" s="211"/>
      <c r="H21" s="211"/>
      <c r="I21" s="211"/>
      <c r="J21" s="212"/>
      <c r="K21" s="211"/>
      <c r="M21" s="249"/>
      <c r="N21" s="189"/>
    </row>
    <row r="22" spans="2:14" x14ac:dyDescent="0.35">
      <c r="B22" s="213" t="s">
        <v>403</v>
      </c>
      <c r="C22" s="214" t="s">
        <v>402</v>
      </c>
      <c r="D22" s="215" t="s">
        <v>404</v>
      </c>
      <c r="E22" s="215" t="s">
        <v>404</v>
      </c>
      <c r="F22" s="219">
        <v>4166.6666666666661</v>
      </c>
      <c r="G22" s="220">
        <v>36500000</v>
      </c>
      <c r="H22" s="217" t="s">
        <v>401</v>
      </c>
      <c r="I22" s="231">
        <v>51100000</v>
      </c>
      <c r="J22" s="222">
        <v>1.4</v>
      </c>
      <c r="K22" s="220" t="s">
        <v>404</v>
      </c>
      <c r="L22" s="113">
        <v>20</v>
      </c>
      <c r="M22" s="249">
        <v>4969055.851424004</v>
      </c>
      <c r="N22" s="188">
        <f t="shared" ref="N22:N26" si="1">F22/1000</f>
        <v>4.1666666666666661</v>
      </c>
    </row>
    <row r="23" spans="2:14" x14ac:dyDescent="0.35">
      <c r="B23" s="213" t="s">
        <v>405</v>
      </c>
      <c r="C23" s="214" t="s">
        <v>402</v>
      </c>
      <c r="D23" s="215">
        <v>0</v>
      </c>
      <c r="E23" s="216" t="s">
        <v>401</v>
      </c>
      <c r="F23" s="216" t="s">
        <v>401</v>
      </c>
      <c r="G23" s="217" t="s">
        <v>401</v>
      </c>
      <c r="H23" s="217" t="s">
        <v>401</v>
      </c>
      <c r="I23" s="217" t="s">
        <v>401</v>
      </c>
      <c r="J23" s="214" t="s">
        <v>401</v>
      </c>
      <c r="K23" s="217" t="s">
        <v>401</v>
      </c>
      <c r="N23" s="188"/>
    </row>
    <row r="24" spans="2:14" x14ac:dyDescent="0.35">
      <c r="B24" s="213" t="s">
        <v>107</v>
      </c>
      <c r="C24" s="214" t="s">
        <v>402</v>
      </c>
      <c r="D24" s="215">
        <v>190</v>
      </c>
      <c r="E24" s="215">
        <v>5040</v>
      </c>
      <c r="F24" s="216">
        <v>0.76</v>
      </c>
      <c r="G24" s="220">
        <v>20.16</v>
      </c>
      <c r="H24" s="217">
        <v>24</v>
      </c>
      <c r="I24" s="221">
        <v>1326.3157894736842</v>
      </c>
      <c r="J24" s="228">
        <v>65.78947368421052</v>
      </c>
      <c r="K24" s="220">
        <v>250</v>
      </c>
      <c r="N24" s="188">
        <f t="shared" si="1"/>
        <v>7.6000000000000004E-4</v>
      </c>
    </row>
    <row r="25" spans="2:14" x14ac:dyDescent="0.35">
      <c r="B25" s="213" t="s">
        <v>108</v>
      </c>
      <c r="C25" s="214" t="s">
        <v>402</v>
      </c>
      <c r="D25" s="215">
        <v>4043.2</v>
      </c>
      <c r="E25" s="220">
        <v>367920</v>
      </c>
      <c r="F25" s="219">
        <v>2021.6</v>
      </c>
      <c r="G25" s="220">
        <v>183960</v>
      </c>
      <c r="H25" s="230">
        <v>181.99445983379502</v>
      </c>
      <c r="I25" s="231">
        <v>94466330.467902854</v>
      </c>
      <c r="J25" s="228">
        <v>256.75780188057962</v>
      </c>
      <c r="K25" s="217">
        <v>2</v>
      </c>
      <c r="N25" s="188">
        <f t="shared" si="1"/>
        <v>2.0215999999999998</v>
      </c>
    </row>
    <row r="26" spans="2:14" x14ac:dyDescent="0.35">
      <c r="B26" s="213" t="s">
        <v>109</v>
      </c>
      <c r="C26" s="214" t="s">
        <v>402</v>
      </c>
      <c r="D26" s="215">
        <v>8664</v>
      </c>
      <c r="E26" s="220">
        <v>52560</v>
      </c>
      <c r="F26" s="219">
        <v>288.8</v>
      </c>
      <c r="G26" s="220">
        <v>1752</v>
      </c>
      <c r="H26" s="230">
        <v>181.99445983379502</v>
      </c>
      <c r="I26" s="231">
        <v>15509560.701798612</v>
      </c>
      <c r="J26" s="228">
        <v>295.08296616816233</v>
      </c>
      <c r="K26" s="217">
        <v>30</v>
      </c>
      <c r="N26" s="188">
        <f t="shared" si="1"/>
        <v>0.2888</v>
      </c>
    </row>
    <row r="27" spans="2:14" x14ac:dyDescent="0.35">
      <c r="B27" s="234"/>
      <c r="C27" s="235"/>
      <c r="D27" s="235"/>
      <c r="E27" s="235"/>
      <c r="F27" s="217"/>
      <c r="G27" s="217"/>
      <c r="H27" s="217"/>
      <c r="I27" s="217"/>
      <c r="J27" s="217"/>
      <c r="K27" s="217"/>
      <c r="N27" s="189"/>
    </row>
    <row r="28" spans="2:14" x14ac:dyDescent="0.35">
      <c r="B28" s="199" t="s">
        <v>408</v>
      </c>
      <c r="C28" s="200"/>
      <c r="D28" s="201"/>
      <c r="E28" s="202"/>
      <c r="F28" s="470"/>
      <c r="G28" s="471"/>
      <c r="H28" s="471"/>
      <c r="I28" s="471"/>
      <c r="J28" s="472"/>
      <c r="K28" s="203"/>
      <c r="N28" s="189"/>
    </row>
    <row r="29" spans="2:14" ht="30" x14ac:dyDescent="0.35">
      <c r="B29" s="204"/>
      <c r="C29" s="205" t="s">
        <v>388</v>
      </c>
      <c r="D29" s="206" t="s">
        <v>389</v>
      </c>
      <c r="E29" s="207" t="s">
        <v>390</v>
      </c>
      <c r="F29" s="207" t="s">
        <v>391</v>
      </c>
      <c r="G29" s="208" t="s">
        <v>392</v>
      </c>
      <c r="H29" s="208" t="s">
        <v>393</v>
      </c>
      <c r="I29" s="208" t="s">
        <v>394</v>
      </c>
      <c r="J29" s="205" t="s">
        <v>395</v>
      </c>
      <c r="K29" s="208" t="s">
        <v>396</v>
      </c>
      <c r="N29" s="189"/>
    </row>
    <row r="30" spans="2:14" x14ac:dyDescent="0.35">
      <c r="B30" s="199" t="s">
        <v>397</v>
      </c>
      <c r="C30" s="200"/>
      <c r="D30" s="209" t="s">
        <v>259</v>
      </c>
      <c r="E30" s="209" t="s">
        <v>259</v>
      </c>
      <c r="F30" s="210" t="s">
        <v>259</v>
      </c>
      <c r="G30" s="211" t="s">
        <v>259</v>
      </c>
      <c r="H30" s="211" t="s">
        <v>398</v>
      </c>
      <c r="I30" s="211" t="s">
        <v>399</v>
      </c>
      <c r="J30" s="212" t="s">
        <v>400</v>
      </c>
      <c r="K30" s="211"/>
      <c r="N30" s="189"/>
    </row>
    <row r="31" spans="2:14" x14ac:dyDescent="0.35">
      <c r="B31" s="213" t="s">
        <v>403</v>
      </c>
      <c r="C31" s="214" t="s">
        <v>402</v>
      </c>
      <c r="D31" s="215">
        <v>0</v>
      </c>
      <c r="E31" s="216" t="s">
        <v>401</v>
      </c>
      <c r="F31" s="216" t="s">
        <v>401</v>
      </c>
      <c r="G31" s="217" t="s">
        <v>401</v>
      </c>
      <c r="H31" s="217" t="s">
        <v>401</v>
      </c>
      <c r="I31" s="217" t="s">
        <v>401</v>
      </c>
      <c r="J31" s="214" t="s">
        <v>401</v>
      </c>
      <c r="K31" s="217" t="s">
        <v>401</v>
      </c>
      <c r="N31" s="188"/>
    </row>
    <row r="32" spans="2:14" x14ac:dyDescent="0.35">
      <c r="B32" s="213" t="s">
        <v>405</v>
      </c>
      <c r="C32" s="214" t="s">
        <v>402</v>
      </c>
      <c r="D32" s="236">
        <v>29433.600000000002</v>
      </c>
      <c r="E32" s="236">
        <v>29433.600000000002</v>
      </c>
      <c r="F32" s="224">
        <v>1</v>
      </c>
      <c r="G32" s="225">
        <v>150</v>
      </c>
      <c r="H32" s="225">
        <v>150</v>
      </c>
      <c r="I32" s="221">
        <v>450</v>
      </c>
      <c r="J32" s="226">
        <v>3</v>
      </c>
      <c r="K32" s="227">
        <v>29433.600000000002</v>
      </c>
      <c r="N32" s="188">
        <f>F32/1000</f>
        <v>1E-3</v>
      </c>
    </row>
    <row r="33" spans="2:14" x14ac:dyDescent="0.35">
      <c r="B33" s="213" t="s">
        <v>107</v>
      </c>
      <c r="C33" s="214" t="s">
        <v>402</v>
      </c>
      <c r="D33" s="215">
        <v>760</v>
      </c>
      <c r="E33" s="215">
        <v>20160</v>
      </c>
      <c r="F33" s="216">
        <v>0.76</v>
      </c>
      <c r="G33" s="220">
        <v>20.16</v>
      </c>
      <c r="H33" s="217">
        <v>24</v>
      </c>
      <c r="I33" s="221">
        <v>1326.3157894736842</v>
      </c>
      <c r="J33" s="228">
        <v>65.78947368421052</v>
      </c>
      <c r="K33" s="217">
        <v>1000</v>
      </c>
      <c r="N33" s="188">
        <f>F33/1000</f>
        <v>7.6000000000000004E-4</v>
      </c>
    </row>
    <row r="34" spans="2:14" x14ac:dyDescent="0.35">
      <c r="B34" s="213" t="s">
        <v>108</v>
      </c>
      <c r="C34" s="214" t="s">
        <v>402</v>
      </c>
      <c r="D34" s="215">
        <v>0</v>
      </c>
      <c r="E34" s="216" t="s">
        <v>401</v>
      </c>
      <c r="F34" s="216" t="s">
        <v>401</v>
      </c>
      <c r="G34" s="217" t="s">
        <v>401</v>
      </c>
      <c r="H34" s="217" t="s">
        <v>401</v>
      </c>
      <c r="I34" s="217" t="s">
        <v>401</v>
      </c>
      <c r="J34" s="214" t="s">
        <v>401</v>
      </c>
      <c r="K34" s="217" t="s">
        <v>401</v>
      </c>
      <c r="N34" s="188"/>
    </row>
    <row r="35" spans="2:14" x14ac:dyDescent="0.35">
      <c r="B35" s="213" t="s">
        <v>109</v>
      </c>
      <c r="C35" s="214" t="s">
        <v>402</v>
      </c>
      <c r="D35" s="215">
        <v>288.8</v>
      </c>
      <c r="E35" s="220">
        <v>52560</v>
      </c>
      <c r="F35" s="229">
        <v>288.8</v>
      </c>
      <c r="G35" s="220">
        <v>52560</v>
      </c>
      <c r="H35" s="230">
        <v>181.99445983379502</v>
      </c>
      <c r="I35" s="231">
        <v>20051424.658675205</v>
      </c>
      <c r="J35" s="228">
        <v>381.49590294283115</v>
      </c>
      <c r="K35" s="217">
        <v>1</v>
      </c>
      <c r="N35" s="188">
        <f>F35/1000</f>
        <v>0.2888</v>
      </c>
    </row>
    <row r="36" spans="2:14" x14ac:dyDescent="0.35">
      <c r="B36" s="213"/>
      <c r="C36" s="214"/>
      <c r="D36" s="232"/>
      <c r="E36" s="216"/>
      <c r="F36" s="216"/>
      <c r="G36" s="233"/>
      <c r="H36" s="217"/>
      <c r="I36" s="217"/>
      <c r="J36" s="214"/>
      <c r="K36" s="217"/>
      <c r="N36" s="189"/>
    </row>
    <row r="37" spans="2:14" x14ac:dyDescent="0.35">
      <c r="B37" s="199" t="s">
        <v>406</v>
      </c>
      <c r="C37" s="200"/>
      <c r="D37" s="209"/>
      <c r="E37" s="210"/>
      <c r="F37" s="210"/>
      <c r="G37" s="211"/>
      <c r="H37" s="211"/>
      <c r="I37" s="211"/>
      <c r="J37" s="212"/>
      <c r="K37" s="211"/>
      <c r="N37" s="189"/>
    </row>
    <row r="38" spans="2:14" x14ac:dyDescent="0.35">
      <c r="B38" s="213" t="s">
        <v>403</v>
      </c>
      <c r="C38" s="214" t="s">
        <v>402</v>
      </c>
      <c r="D38" s="215" t="s">
        <v>404</v>
      </c>
      <c r="E38" s="215" t="s">
        <v>404</v>
      </c>
      <c r="F38" s="219">
        <v>4166.6666666666661</v>
      </c>
      <c r="G38" s="220">
        <v>36500000</v>
      </c>
      <c r="H38" s="217" t="s">
        <v>401</v>
      </c>
      <c r="I38" s="231">
        <v>51100000</v>
      </c>
      <c r="J38" s="222">
        <v>1.4</v>
      </c>
      <c r="K38" s="220" t="s">
        <v>404</v>
      </c>
      <c r="L38" s="113">
        <v>20</v>
      </c>
      <c r="M38" s="249">
        <v>4969055.851424004</v>
      </c>
      <c r="N38" s="188">
        <f t="shared" ref="N38:N42" si="2">F38/1000</f>
        <v>4.1666666666666661</v>
      </c>
    </row>
    <row r="39" spans="2:14" x14ac:dyDescent="0.35">
      <c r="B39" s="213" t="s">
        <v>405</v>
      </c>
      <c r="C39" s="214" t="s">
        <v>402</v>
      </c>
      <c r="D39" s="236">
        <v>0</v>
      </c>
      <c r="E39" s="236" t="s">
        <v>401</v>
      </c>
      <c r="F39" s="224" t="s">
        <v>401</v>
      </c>
      <c r="G39" s="225" t="s">
        <v>401</v>
      </c>
      <c r="H39" s="225" t="s">
        <v>401</v>
      </c>
      <c r="I39" s="221" t="s">
        <v>401</v>
      </c>
      <c r="J39" s="226" t="s">
        <v>401</v>
      </c>
      <c r="K39" s="227" t="s">
        <v>401</v>
      </c>
      <c r="M39" s="249"/>
      <c r="N39" s="188"/>
    </row>
    <row r="40" spans="2:14" x14ac:dyDescent="0.35">
      <c r="B40" s="213" t="s">
        <v>107</v>
      </c>
      <c r="C40" s="214" t="s">
        <v>402</v>
      </c>
      <c r="D40" s="215">
        <v>760</v>
      </c>
      <c r="E40" s="215">
        <v>20160</v>
      </c>
      <c r="F40" s="216">
        <v>0.76</v>
      </c>
      <c r="G40" s="220">
        <v>20.16</v>
      </c>
      <c r="H40" s="217">
        <v>24</v>
      </c>
      <c r="I40" s="221">
        <v>1326.3157894736842</v>
      </c>
      <c r="J40" s="228">
        <v>65.78947368421052</v>
      </c>
      <c r="K40" s="217">
        <v>1000</v>
      </c>
      <c r="M40" s="249"/>
      <c r="N40" s="188">
        <f t="shared" si="2"/>
        <v>7.6000000000000004E-4</v>
      </c>
    </row>
    <row r="41" spans="2:14" x14ac:dyDescent="0.35">
      <c r="B41" s="213" t="s">
        <v>108</v>
      </c>
      <c r="C41" s="214" t="s">
        <v>402</v>
      </c>
      <c r="D41" s="215">
        <v>4043.2</v>
      </c>
      <c r="E41" s="220">
        <v>367920</v>
      </c>
      <c r="F41" s="219">
        <v>2021.6</v>
      </c>
      <c r="G41" s="220">
        <v>183960</v>
      </c>
      <c r="H41" s="230">
        <v>181.99445983379502</v>
      </c>
      <c r="I41" s="231">
        <v>94466330.467902854</v>
      </c>
      <c r="J41" s="228">
        <v>256.75780188057962</v>
      </c>
      <c r="K41" s="217">
        <v>2</v>
      </c>
      <c r="M41" s="249"/>
      <c r="N41" s="188">
        <f t="shared" si="2"/>
        <v>2.0215999999999998</v>
      </c>
    </row>
    <row r="42" spans="2:14" x14ac:dyDescent="0.35">
      <c r="B42" s="213" t="s">
        <v>109</v>
      </c>
      <c r="C42" s="214" t="s">
        <v>402</v>
      </c>
      <c r="D42" s="215">
        <v>1444</v>
      </c>
      <c r="E42" s="220">
        <v>52560</v>
      </c>
      <c r="F42" s="219">
        <v>288.8</v>
      </c>
      <c r="G42" s="220">
        <v>10512</v>
      </c>
      <c r="H42" s="230">
        <v>181.99445983379502</v>
      </c>
      <c r="I42" s="231">
        <v>19153973.425741442</v>
      </c>
      <c r="J42" s="228">
        <v>364.42110779568952</v>
      </c>
      <c r="K42" s="217">
        <v>5</v>
      </c>
      <c r="M42" s="249"/>
      <c r="N42" s="188">
        <f t="shared" si="2"/>
        <v>0.2888</v>
      </c>
    </row>
    <row r="43" spans="2:14" x14ac:dyDescent="0.35">
      <c r="B43" s="213"/>
      <c r="C43" s="214"/>
      <c r="D43" s="232"/>
      <c r="E43" s="216"/>
      <c r="F43" s="216"/>
      <c r="G43" s="217"/>
      <c r="H43" s="217"/>
      <c r="I43" s="217"/>
      <c r="J43" s="214"/>
      <c r="K43" s="217"/>
      <c r="M43" s="249"/>
      <c r="N43" s="189"/>
    </row>
    <row r="44" spans="2:14" x14ac:dyDescent="0.35">
      <c r="B44" s="199" t="s">
        <v>407</v>
      </c>
      <c r="C44" s="200"/>
      <c r="D44" s="209"/>
      <c r="E44" s="210"/>
      <c r="F44" s="210"/>
      <c r="G44" s="211"/>
      <c r="H44" s="211"/>
      <c r="I44" s="211"/>
      <c r="J44" s="212"/>
      <c r="K44" s="211"/>
      <c r="M44" s="249"/>
      <c r="N44" s="189"/>
    </row>
    <row r="45" spans="2:14" x14ac:dyDescent="0.35">
      <c r="B45" s="213" t="s">
        <v>403</v>
      </c>
      <c r="C45" s="214" t="s">
        <v>402</v>
      </c>
      <c r="D45" s="215" t="s">
        <v>404</v>
      </c>
      <c r="E45" s="215" t="s">
        <v>404</v>
      </c>
      <c r="F45" s="219">
        <v>4166.6666666666661</v>
      </c>
      <c r="G45" s="220">
        <v>36500000</v>
      </c>
      <c r="H45" s="217" t="s">
        <v>401</v>
      </c>
      <c r="I45" s="231">
        <v>51100000</v>
      </c>
      <c r="J45" s="222">
        <v>1.4</v>
      </c>
      <c r="K45" s="220" t="s">
        <v>404</v>
      </c>
      <c r="L45" s="113">
        <v>20</v>
      </c>
      <c r="M45" s="249">
        <v>4969055.851424004</v>
      </c>
      <c r="N45" s="188">
        <f t="shared" ref="N45:N49" si="3">F45/1000</f>
        <v>4.1666666666666661</v>
      </c>
    </row>
    <row r="46" spans="2:14" x14ac:dyDescent="0.35">
      <c r="B46" s="213" t="s">
        <v>405</v>
      </c>
      <c r="C46" s="214" t="s">
        <v>402</v>
      </c>
      <c r="D46" s="236">
        <v>0</v>
      </c>
      <c r="E46" s="236" t="s">
        <v>401</v>
      </c>
      <c r="F46" s="224" t="s">
        <v>401</v>
      </c>
      <c r="G46" s="225" t="s">
        <v>401</v>
      </c>
      <c r="H46" s="225" t="s">
        <v>401</v>
      </c>
      <c r="I46" s="221" t="s">
        <v>401</v>
      </c>
      <c r="J46" s="226" t="s">
        <v>401</v>
      </c>
      <c r="K46" s="227" t="s">
        <v>401</v>
      </c>
      <c r="N46" s="188"/>
    </row>
    <row r="47" spans="2:14" x14ac:dyDescent="0.35">
      <c r="B47" s="213" t="s">
        <v>107</v>
      </c>
      <c r="C47" s="214" t="s">
        <v>402</v>
      </c>
      <c r="D47" s="215">
        <v>760</v>
      </c>
      <c r="E47" s="215">
        <v>20160</v>
      </c>
      <c r="F47" s="216">
        <v>0.76</v>
      </c>
      <c r="G47" s="220">
        <v>20.16</v>
      </c>
      <c r="H47" s="217">
        <v>24</v>
      </c>
      <c r="I47" s="221">
        <v>1326.3157894736842</v>
      </c>
      <c r="J47" s="228">
        <v>65.78947368421052</v>
      </c>
      <c r="K47" s="217">
        <v>1000</v>
      </c>
      <c r="N47" s="188">
        <f t="shared" si="3"/>
        <v>7.6000000000000004E-4</v>
      </c>
    </row>
    <row r="48" spans="2:14" x14ac:dyDescent="0.35">
      <c r="B48" s="213" t="s">
        <v>108</v>
      </c>
      <c r="C48" s="214" t="s">
        <v>402</v>
      </c>
      <c r="D48" s="215">
        <v>4043.2</v>
      </c>
      <c r="E48" s="220">
        <v>367920</v>
      </c>
      <c r="F48" s="219">
        <v>2021.6</v>
      </c>
      <c r="G48" s="220">
        <v>183960</v>
      </c>
      <c r="H48" s="230">
        <v>181.99445983379502</v>
      </c>
      <c r="I48" s="231">
        <v>94466330.467902854</v>
      </c>
      <c r="J48" s="228">
        <v>256.75780188057962</v>
      </c>
      <c r="K48" s="217">
        <v>2</v>
      </c>
      <c r="N48" s="188">
        <f t="shared" si="3"/>
        <v>2.0215999999999998</v>
      </c>
    </row>
    <row r="49" spans="2:14" x14ac:dyDescent="0.35">
      <c r="B49" s="213" t="s">
        <v>109</v>
      </c>
      <c r="C49" s="214" t="s">
        <v>402</v>
      </c>
      <c r="D49" s="215">
        <v>8664</v>
      </c>
      <c r="E49" s="220">
        <v>52560</v>
      </c>
      <c r="F49" s="219">
        <v>288.8</v>
      </c>
      <c r="G49" s="220">
        <v>1752</v>
      </c>
      <c r="H49" s="230">
        <v>181.99445983379502</v>
      </c>
      <c r="I49" s="231">
        <v>15509560.701798612</v>
      </c>
      <c r="J49" s="228">
        <v>295.08296616816233</v>
      </c>
      <c r="K49" s="217">
        <v>30</v>
      </c>
      <c r="N49" s="188">
        <f t="shared" si="3"/>
        <v>0.2888</v>
      </c>
    </row>
  </sheetData>
  <mergeCells count="2">
    <mergeCell ref="F5:J5"/>
    <mergeCell ref="F28:J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 tint="0.499984740745262"/>
  </sheetPr>
  <dimension ref="B2:J33"/>
  <sheetViews>
    <sheetView showGridLines="0" zoomScale="85" zoomScaleNormal="85" workbookViewId="0">
      <selection activeCell="F5" sqref="F5"/>
    </sheetView>
  </sheetViews>
  <sheetFormatPr defaultRowHeight="17.25" x14ac:dyDescent="0.35"/>
  <cols>
    <col min="1" max="1" width="2.625" customWidth="1"/>
    <col min="3" max="10" width="13.75" customWidth="1"/>
  </cols>
  <sheetData>
    <row r="2" spans="2:10" ht="21.75" x14ac:dyDescent="0.45">
      <c r="B2" s="22" t="s">
        <v>487</v>
      </c>
    </row>
    <row r="4" spans="2:10" x14ac:dyDescent="0.35">
      <c r="B4" t="s">
        <v>292</v>
      </c>
      <c r="C4" t="s">
        <v>286</v>
      </c>
      <c r="D4" t="s">
        <v>287</v>
      </c>
      <c r="E4" t="s">
        <v>288</v>
      </c>
      <c r="F4" s="118" t="s">
        <v>443</v>
      </c>
    </row>
    <row r="5" spans="2:10" x14ac:dyDescent="0.35">
      <c r="C5" t="s">
        <v>286</v>
      </c>
      <c r="D5" t="s">
        <v>293</v>
      </c>
      <c r="E5" t="s">
        <v>288</v>
      </c>
      <c r="F5" s="118" t="s">
        <v>444</v>
      </c>
    </row>
    <row r="6" spans="2:10" x14ac:dyDescent="0.35">
      <c r="C6" t="s">
        <v>286</v>
      </c>
      <c r="D6" t="s">
        <v>294</v>
      </c>
      <c r="E6" t="s">
        <v>288</v>
      </c>
      <c r="F6" s="118" t="s">
        <v>445</v>
      </c>
    </row>
    <row r="7" spans="2:10" x14ac:dyDescent="0.35">
      <c r="C7" t="s">
        <v>286</v>
      </c>
      <c r="D7" t="s">
        <v>287</v>
      </c>
      <c r="E7" t="s">
        <v>350</v>
      </c>
      <c r="F7" s="118" t="s">
        <v>474</v>
      </c>
    </row>
    <row r="8" spans="2:10" x14ac:dyDescent="0.35">
      <c r="C8" t="s">
        <v>351</v>
      </c>
      <c r="D8" t="s">
        <v>287</v>
      </c>
      <c r="E8" t="s">
        <v>288</v>
      </c>
      <c r="F8" s="118" t="s">
        <v>440</v>
      </c>
    </row>
    <row r="9" spans="2:10" x14ac:dyDescent="0.35">
      <c r="C9" t="s">
        <v>351</v>
      </c>
      <c r="D9" t="s">
        <v>293</v>
      </c>
      <c r="E9" t="s">
        <v>288</v>
      </c>
      <c r="F9" s="118" t="s">
        <v>442</v>
      </c>
    </row>
    <row r="10" spans="2:10" x14ac:dyDescent="0.35">
      <c r="C10" t="s">
        <v>351</v>
      </c>
      <c r="D10" t="s">
        <v>294</v>
      </c>
      <c r="E10" t="s">
        <v>288</v>
      </c>
      <c r="F10" s="118" t="s">
        <v>441</v>
      </c>
    </row>
    <row r="11" spans="2:10" x14ac:dyDescent="0.35">
      <c r="C11" t="s">
        <v>351</v>
      </c>
      <c r="D11" t="s">
        <v>287</v>
      </c>
      <c r="E11" t="s">
        <v>350</v>
      </c>
      <c r="F11" s="118" t="s">
        <v>473</v>
      </c>
    </row>
    <row r="13" spans="2:10" x14ac:dyDescent="0.35">
      <c r="B13" s="168"/>
      <c r="C13" s="174" t="s">
        <v>286</v>
      </c>
      <c r="D13" s="175" t="s">
        <v>286</v>
      </c>
      <c r="E13" s="175" t="s">
        <v>286</v>
      </c>
      <c r="F13" s="176" t="s">
        <v>286</v>
      </c>
      <c r="G13" s="175" t="s">
        <v>351</v>
      </c>
      <c r="H13" s="175" t="s">
        <v>351</v>
      </c>
      <c r="I13" s="175" t="s">
        <v>351</v>
      </c>
      <c r="J13" s="176" t="s">
        <v>351</v>
      </c>
    </row>
    <row r="14" spans="2:10" x14ac:dyDescent="0.35">
      <c r="B14" s="23"/>
      <c r="C14" s="25" t="s">
        <v>287</v>
      </c>
      <c r="D14" s="78" t="s">
        <v>293</v>
      </c>
      <c r="E14" s="78" t="s">
        <v>294</v>
      </c>
      <c r="F14" s="81" t="s">
        <v>287</v>
      </c>
      <c r="G14" s="78" t="s">
        <v>287</v>
      </c>
      <c r="H14" s="78" t="s">
        <v>293</v>
      </c>
      <c r="I14" s="78" t="s">
        <v>294</v>
      </c>
      <c r="J14" s="81" t="s">
        <v>287</v>
      </c>
    </row>
    <row r="15" spans="2:10" ht="18" thickBot="1" x14ac:dyDescent="0.4">
      <c r="B15" s="122"/>
      <c r="C15" s="122" t="s">
        <v>288</v>
      </c>
      <c r="D15" s="167" t="s">
        <v>288</v>
      </c>
      <c r="E15" s="167" t="s">
        <v>288</v>
      </c>
      <c r="F15" s="192" t="s">
        <v>350</v>
      </c>
      <c r="G15" s="167" t="s">
        <v>288</v>
      </c>
      <c r="H15" s="167" t="s">
        <v>288</v>
      </c>
      <c r="I15" s="167" t="s">
        <v>288</v>
      </c>
      <c r="J15" s="192" t="s">
        <v>350</v>
      </c>
    </row>
    <row r="16" spans="2:10" ht="18" thickTop="1" x14ac:dyDescent="0.35">
      <c r="B16" s="25">
        <v>2015</v>
      </c>
      <c r="C16" s="273">
        <v>14.10284</v>
      </c>
      <c r="D16" s="271">
        <v>14.10284</v>
      </c>
      <c r="E16" s="271">
        <v>14.10284</v>
      </c>
      <c r="F16" s="303">
        <v>14.10284</v>
      </c>
      <c r="G16" s="271">
        <v>14.10284</v>
      </c>
      <c r="H16" s="271">
        <v>14.10284</v>
      </c>
      <c r="I16" s="271">
        <v>14.10284</v>
      </c>
      <c r="J16" s="303">
        <v>14.10284</v>
      </c>
    </row>
    <row r="17" spans="2:10" x14ac:dyDescent="0.35">
      <c r="B17" s="25">
        <v>2016</v>
      </c>
      <c r="C17" s="273">
        <v>14.10284</v>
      </c>
      <c r="D17" s="271">
        <v>14.10284</v>
      </c>
      <c r="E17" s="271">
        <v>14.10284</v>
      </c>
      <c r="F17" s="303">
        <v>14.10284</v>
      </c>
      <c r="G17" s="271">
        <v>14.10284</v>
      </c>
      <c r="H17" s="271">
        <v>14.10284</v>
      </c>
      <c r="I17" s="271">
        <v>14.10284</v>
      </c>
      <c r="J17" s="303">
        <v>14.10284</v>
      </c>
    </row>
    <row r="18" spans="2:10" x14ac:dyDescent="0.35">
      <c r="B18" s="25">
        <v>2017</v>
      </c>
      <c r="C18" s="273">
        <v>12.459070000000001</v>
      </c>
      <c r="D18" s="271">
        <v>12.459070000000001</v>
      </c>
      <c r="E18" s="271">
        <v>12.459070000000001</v>
      </c>
      <c r="F18" s="303">
        <v>12.459070000000001</v>
      </c>
      <c r="G18" s="271">
        <v>12.459070000000001</v>
      </c>
      <c r="H18" s="271">
        <v>12.459070000000001</v>
      </c>
      <c r="I18" s="271">
        <v>12.459070000000001</v>
      </c>
      <c r="J18" s="303">
        <v>12.459070000000001</v>
      </c>
    </row>
    <row r="19" spans="2:10" x14ac:dyDescent="0.35">
      <c r="B19" s="25">
        <v>2018</v>
      </c>
      <c r="C19" s="273">
        <v>23.138960000000001</v>
      </c>
      <c r="D19" s="271">
        <v>23.138960000000001</v>
      </c>
      <c r="E19" s="271">
        <v>23.138960000000001</v>
      </c>
      <c r="F19" s="303">
        <v>20.780260000000002</v>
      </c>
      <c r="G19" s="271">
        <v>22.573169999999998</v>
      </c>
      <c r="H19" s="271">
        <v>22.573169999999998</v>
      </c>
      <c r="I19" s="271">
        <v>24.97317</v>
      </c>
      <c r="J19" s="303">
        <v>19.180810000000001</v>
      </c>
    </row>
    <row r="20" spans="2:10" x14ac:dyDescent="0.35">
      <c r="B20" s="25">
        <v>2019</v>
      </c>
      <c r="C20" s="273">
        <v>19.635619999999999</v>
      </c>
      <c r="D20" s="271">
        <v>19.635619999999999</v>
      </c>
      <c r="E20" s="271">
        <v>19.486470000000001</v>
      </c>
      <c r="F20" s="303">
        <v>16.20204</v>
      </c>
      <c r="G20" s="271">
        <v>16.20204</v>
      </c>
      <c r="H20" s="271">
        <v>17.88702</v>
      </c>
      <c r="I20" s="271">
        <v>16.20204</v>
      </c>
      <c r="J20" s="303">
        <v>16.20204</v>
      </c>
    </row>
    <row r="21" spans="2:10" x14ac:dyDescent="0.35">
      <c r="B21" s="25">
        <v>2020</v>
      </c>
      <c r="C21" s="273">
        <v>53.835350000000005</v>
      </c>
      <c r="D21" s="271">
        <v>53.835350000000005</v>
      </c>
      <c r="E21" s="271">
        <v>52.320040000000006</v>
      </c>
      <c r="F21" s="303">
        <v>53.381320000000002</v>
      </c>
      <c r="G21" s="271">
        <v>53.381320000000002</v>
      </c>
      <c r="H21" s="271">
        <v>53.381320000000002</v>
      </c>
      <c r="I21" s="271">
        <v>51.866010000000003</v>
      </c>
      <c r="J21" s="303">
        <v>49.939269999999993</v>
      </c>
    </row>
    <row r="22" spans="2:10" x14ac:dyDescent="0.35">
      <c r="B22" s="25">
        <v>2021</v>
      </c>
      <c r="C22" s="273">
        <v>51.71199</v>
      </c>
      <c r="D22" s="271">
        <v>52.276329999999994</v>
      </c>
      <c r="E22" s="271">
        <v>51.71199</v>
      </c>
      <c r="F22" s="303">
        <v>51.71199</v>
      </c>
      <c r="G22" s="271">
        <v>51.71199</v>
      </c>
      <c r="H22" s="271">
        <v>51.71199</v>
      </c>
      <c r="I22" s="271">
        <v>51.71199</v>
      </c>
      <c r="J22" s="303">
        <v>51.71199</v>
      </c>
    </row>
    <row r="23" spans="2:10" x14ac:dyDescent="0.35">
      <c r="B23" s="25">
        <v>2022</v>
      </c>
      <c r="C23" s="273">
        <v>52.166459999999994</v>
      </c>
      <c r="D23" s="271">
        <v>52.166459999999994</v>
      </c>
      <c r="E23" s="271">
        <v>51.062729999999988</v>
      </c>
      <c r="F23" s="303">
        <v>50.569799999999987</v>
      </c>
      <c r="G23" s="271">
        <v>51.062729999999988</v>
      </c>
      <c r="H23" s="271">
        <v>51.568729999999988</v>
      </c>
      <c r="I23" s="271">
        <v>51.062729999999988</v>
      </c>
      <c r="J23" s="303">
        <v>43.342629999999993</v>
      </c>
    </row>
    <row r="24" spans="2:10" x14ac:dyDescent="0.35">
      <c r="B24" s="25">
        <v>2023</v>
      </c>
      <c r="C24" s="273">
        <v>52.904009999999992</v>
      </c>
      <c r="D24" s="271">
        <v>53.501739999999998</v>
      </c>
      <c r="E24" s="271">
        <v>51.94388</v>
      </c>
      <c r="F24" s="303">
        <v>45.659699999999994</v>
      </c>
      <c r="G24" s="271">
        <v>50.570160000000001</v>
      </c>
      <c r="H24" s="271">
        <v>51.329699999999995</v>
      </c>
      <c r="I24" s="271">
        <v>47.358519999999999</v>
      </c>
      <c r="J24" s="303">
        <v>42.850060000000006</v>
      </c>
    </row>
    <row r="25" spans="2:10" x14ac:dyDescent="0.35">
      <c r="B25" s="25">
        <v>2024</v>
      </c>
      <c r="C25" s="273">
        <v>55.142089999999996</v>
      </c>
      <c r="D25" s="271">
        <v>55.142089999999996</v>
      </c>
      <c r="E25" s="271">
        <v>54.090229999999998</v>
      </c>
      <c r="F25" s="303">
        <v>51.418159999999993</v>
      </c>
      <c r="G25" s="271">
        <v>53.308159999999994</v>
      </c>
      <c r="H25" s="271">
        <v>53.584229999999998</v>
      </c>
      <c r="I25" s="271">
        <v>47.934559999999991</v>
      </c>
      <c r="J25" s="303">
        <v>44.940529999999995</v>
      </c>
    </row>
    <row r="26" spans="2:10" x14ac:dyDescent="0.35">
      <c r="B26" s="25">
        <v>2025</v>
      </c>
      <c r="C26" s="273">
        <v>53.308159999999994</v>
      </c>
      <c r="D26" s="271">
        <v>54.090229999999998</v>
      </c>
      <c r="E26" s="271">
        <v>53.308159999999994</v>
      </c>
      <c r="F26" s="303">
        <v>50.925229999999999</v>
      </c>
      <c r="G26" s="271">
        <v>51.418159999999993</v>
      </c>
      <c r="H26" s="271">
        <v>53.308159999999994</v>
      </c>
      <c r="I26" s="271">
        <v>45.551629999999989</v>
      </c>
      <c r="J26" s="303">
        <v>44.940529999999995</v>
      </c>
    </row>
    <row r="27" spans="2:10" x14ac:dyDescent="0.35">
      <c r="B27" s="25">
        <v>2026</v>
      </c>
      <c r="C27" s="273">
        <v>53.308159999999994</v>
      </c>
      <c r="D27" s="271">
        <v>54.090229999999998</v>
      </c>
      <c r="E27" s="271">
        <v>53.308159999999994</v>
      </c>
      <c r="F27" s="303">
        <v>52.815229999999993</v>
      </c>
      <c r="G27" s="271">
        <v>51.418159999999993</v>
      </c>
      <c r="H27" s="271">
        <v>53.308159999999994</v>
      </c>
      <c r="I27" s="271">
        <v>49.33162999999999</v>
      </c>
      <c r="J27" s="303">
        <v>44.940529999999995</v>
      </c>
    </row>
    <row r="28" spans="2:10" x14ac:dyDescent="0.35">
      <c r="B28" s="25">
        <v>2027</v>
      </c>
      <c r="C28" s="273">
        <v>55.878479999999996</v>
      </c>
      <c r="D28" s="271">
        <v>56.154549999999993</v>
      </c>
      <c r="E28" s="271">
        <v>52.098479999999995</v>
      </c>
      <c r="F28" s="303">
        <v>47.825549999999993</v>
      </c>
      <c r="G28" s="271">
        <v>52.098479999999995</v>
      </c>
      <c r="H28" s="271">
        <v>52.098479999999995</v>
      </c>
      <c r="I28" s="271">
        <v>45.551629999999989</v>
      </c>
      <c r="J28" s="303">
        <v>46.268380000000001</v>
      </c>
    </row>
    <row r="29" spans="2:10" x14ac:dyDescent="0.35">
      <c r="B29" s="25">
        <v>2028</v>
      </c>
      <c r="C29" s="273">
        <v>60.070159999999987</v>
      </c>
      <c r="D29" s="271">
        <v>60.070159999999987</v>
      </c>
      <c r="E29" s="271">
        <v>56.290159999999993</v>
      </c>
      <c r="F29" s="303">
        <v>52.017229999999998</v>
      </c>
      <c r="G29" s="271">
        <v>55.797229999999999</v>
      </c>
      <c r="H29" s="271">
        <v>54.40016</v>
      </c>
      <c r="I29" s="271">
        <v>48.972259999999991</v>
      </c>
      <c r="J29" s="303">
        <v>50.460059999999999</v>
      </c>
    </row>
    <row r="30" spans="2:10" x14ac:dyDescent="0.35">
      <c r="B30" s="25">
        <v>2029</v>
      </c>
      <c r="C30" s="273">
        <v>60.070159999999987</v>
      </c>
      <c r="D30" s="271">
        <v>60.852229999999992</v>
      </c>
      <c r="E30" s="271">
        <v>60.070159999999987</v>
      </c>
      <c r="F30" s="303">
        <v>53.907229999999998</v>
      </c>
      <c r="G30" s="271">
        <v>58.180159999999987</v>
      </c>
      <c r="H30" s="271">
        <v>58.180159999999987</v>
      </c>
      <c r="I30" s="271">
        <v>53.591709999999999</v>
      </c>
      <c r="J30" s="303">
        <v>49.812529999999995</v>
      </c>
    </row>
    <row r="31" spans="2:10" x14ac:dyDescent="0.35">
      <c r="B31" s="26">
        <v>2030</v>
      </c>
      <c r="C31" s="274">
        <v>60.978319999999989</v>
      </c>
      <c r="D31" s="272">
        <v>60.978319999999989</v>
      </c>
      <c r="E31" s="272">
        <v>57.198320000000002</v>
      </c>
      <c r="F31" s="304">
        <v>52.017229999999998</v>
      </c>
      <c r="G31" s="272">
        <v>52.017229999999998</v>
      </c>
      <c r="H31" s="272">
        <v>54.40016</v>
      </c>
      <c r="I31" s="272">
        <v>48.308059999999998</v>
      </c>
      <c r="J31" s="304">
        <v>48.690839999999994</v>
      </c>
    </row>
    <row r="32" spans="2:10" x14ac:dyDescent="0.35">
      <c r="J32" s="190"/>
    </row>
    <row r="33" spans="3:5" x14ac:dyDescent="0.35">
      <c r="C33" s="166"/>
      <c r="D33" s="166"/>
      <c r="E33" s="16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 tint="0.499984740745262"/>
  </sheetPr>
  <dimension ref="B2:AS48"/>
  <sheetViews>
    <sheetView showGridLines="0" zoomScale="55" zoomScaleNormal="55" workbookViewId="0">
      <selection activeCell="J29" sqref="J29"/>
    </sheetView>
  </sheetViews>
  <sheetFormatPr defaultRowHeight="17.25" x14ac:dyDescent="0.35"/>
  <cols>
    <col min="1" max="1" width="2.625" customWidth="1"/>
    <col min="18" max="18" width="2.625" customWidth="1"/>
    <col min="20" max="31" width="11.625" customWidth="1"/>
    <col min="32" max="32" width="2.625" customWidth="1"/>
    <col min="34" max="45" width="11.625" customWidth="1"/>
  </cols>
  <sheetData>
    <row r="2" spans="2:45" ht="21.75" x14ac:dyDescent="0.45">
      <c r="B2" s="22" t="s">
        <v>354</v>
      </c>
      <c r="C2" s="117"/>
      <c r="D2" s="117"/>
      <c r="S2" s="22" t="s">
        <v>362</v>
      </c>
      <c r="AG2" s="22" t="s">
        <v>363</v>
      </c>
    </row>
    <row r="4" spans="2:45" x14ac:dyDescent="0.35">
      <c r="B4" s="118" t="s">
        <v>5</v>
      </c>
      <c r="C4" s="118" t="s">
        <v>517</v>
      </c>
      <c r="D4" s="118"/>
    </row>
    <row r="6" spans="2:45" x14ac:dyDescent="0.35">
      <c r="B6" s="477" t="s">
        <v>355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9"/>
      <c r="S6" s="477" t="s">
        <v>355</v>
      </c>
      <c r="T6" s="478"/>
      <c r="U6" s="478"/>
      <c r="V6" s="478"/>
      <c r="W6" s="478"/>
      <c r="X6" s="478"/>
      <c r="Y6" s="478"/>
      <c r="Z6" s="478"/>
      <c r="AA6" s="478"/>
      <c r="AB6" s="478"/>
      <c r="AC6" s="478"/>
      <c r="AD6" s="478"/>
      <c r="AE6" s="479"/>
      <c r="AG6" s="477" t="s">
        <v>355</v>
      </c>
      <c r="AH6" s="478"/>
      <c r="AI6" s="478"/>
      <c r="AJ6" s="478"/>
      <c r="AK6" s="478"/>
      <c r="AL6" s="478"/>
      <c r="AM6" s="478"/>
      <c r="AN6" s="478"/>
      <c r="AO6" s="478"/>
      <c r="AP6" s="478"/>
      <c r="AQ6" s="478"/>
      <c r="AR6" s="478"/>
      <c r="AS6" s="479"/>
    </row>
    <row r="7" spans="2:45" x14ac:dyDescent="0.35">
      <c r="B7" s="173"/>
      <c r="C7" s="473" t="s">
        <v>271</v>
      </c>
      <c r="D7" s="474"/>
      <c r="E7" s="474"/>
      <c r="F7" s="474"/>
      <c r="G7" s="474"/>
      <c r="H7" s="473" t="s">
        <v>356</v>
      </c>
      <c r="I7" s="474"/>
      <c r="J7" s="474"/>
      <c r="K7" s="474"/>
      <c r="L7" s="476"/>
      <c r="M7" s="474" t="s">
        <v>273</v>
      </c>
      <c r="N7" s="474"/>
      <c r="O7" s="474"/>
      <c r="P7" s="474"/>
      <c r="Q7" s="476"/>
      <c r="S7" s="168"/>
      <c r="T7" s="473" t="s">
        <v>271</v>
      </c>
      <c r="U7" s="474"/>
      <c r="V7" s="474"/>
      <c r="W7" s="474"/>
      <c r="X7" s="473" t="s">
        <v>356</v>
      </c>
      <c r="Y7" s="474"/>
      <c r="Z7" s="474"/>
      <c r="AA7" s="476"/>
      <c r="AB7" s="474" t="s">
        <v>273</v>
      </c>
      <c r="AC7" s="474"/>
      <c r="AD7" s="474"/>
      <c r="AE7" s="476"/>
      <c r="AG7" s="168"/>
      <c r="AH7" s="473" t="s">
        <v>271</v>
      </c>
      <c r="AI7" s="474"/>
      <c r="AJ7" s="474"/>
      <c r="AK7" s="474"/>
      <c r="AL7" s="473" t="s">
        <v>356</v>
      </c>
      <c r="AM7" s="474"/>
      <c r="AN7" s="474"/>
      <c r="AO7" s="476"/>
      <c r="AP7" s="474" t="s">
        <v>273</v>
      </c>
      <c r="AQ7" s="474"/>
      <c r="AR7" s="474"/>
      <c r="AS7" s="476"/>
    </row>
    <row r="8" spans="2:45" ht="52.5" thickBot="1" x14ac:dyDescent="0.4">
      <c r="B8" s="169"/>
      <c r="C8" s="169" t="s">
        <v>425</v>
      </c>
      <c r="D8" s="171" t="s">
        <v>20</v>
      </c>
      <c r="E8" s="171" t="s">
        <v>357</v>
      </c>
      <c r="F8" s="171" t="s">
        <v>348</v>
      </c>
      <c r="G8" s="171" t="s">
        <v>349</v>
      </c>
      <c r="H8" s="169" t="s">
        <v>425</v>
      </c>
      <c r="I8" s="171" t="s">
        <v>20</v>
      </c>
      <c r="J8" s="171" t="s">
        <v>357</v>
      </c>
      <c r="K8" s="171" t="s">
        <v>348</v>
      </c>
      <c r="L8" s="172" t="s">
        <v>349</v>
      </c>
      <c r="M8" s="169" t="s">
        <v>425</v>
      </c>
      <c r="N8" s="171" t="s">
        <v>20</v>
      </c>
      <c r="O8" s="171" t="s">
        <v>357</v>
      </c>
      <c r="P8" s="171" t="s">
        <v>348</v>
      </c>
      <c r="Q8" s="172" t="s">
        <v>349</v>
      </c>
      <c r="S8" s="169"/>
      <c r="T8" s="169" t="s">
        <v>364</v>
      </c>
      <c r="U8" s="171" t="s">
        <v>368</v>
      </c>
      <c r="V8" s="171" t="s">
        <v>369</v>
      </c>
      <c r="W8" s="172" t="s">
        <v>366</v>
      </c>
      <c r="X8" s="170" t="s">
        <v>367</v>
      </c>
      <c r="Y8" s="171" t="s">
        <v>368</v>
      </c>
      <c r="Z8" s="171" t="s">
        <v>369</v>
      </c>
      <c r="AA8" s="172" t="s">
        <v>366</v>
      </c>
      <c r="AB8" s="170" t="s">
        <v>367</v>
      </c>
      <c r="AC8" s="171" t="s">
        <v>368</v>
      </c>
      <c r="AD8" s="171" t="s">
        <v>369</v>
      </c>
      <c r="AE8" s="172" t="s">
        <v>366</v>
      </c>
      <c r="AG8" s="169"/>
      <c r="AH8" s="170" t="s">
        <v>367</v>
      </c>
      <c r="AI8" s="171" t="s">
        <v>365</v>
      </c>
      <c r="AJ8" s="171" t="s">
        <v>327</v>
      </c>
      <c r="AK8" s="172" t="s">
        <v>366</v>
      </c>
      <c r="AL8" s="170" t="s">
        <v>367</v>
      </c>
      <c r="AM8" s="171" t="s">
        <v>368</v>
      </c>
      <c r="AN8" s="171" t="s">
        <v>369</v>
      </c>
      <c r="AO8" s="172" t="s">
        <v>366</v>
      </c>
      <c r="AP8" s="170" t="s">
        <v>367</v>
      </c>
      <c r="AQ8" s="171" t="s">
        <v>368</v>
      </c>
      <c r="AR8" s="171" t="s">
        <v>369</v>
      </c>
      <c r="AS8" s="172" t="s">
        <v>366</v>
      </c>
    </row>
    <row r="9" spans="2:45" x14ac:dyDescent="0.35">
      <c r="B9" s="25">
        <v>2015</v>
      </c>
      <c r="C9" s="149">
        <v>137.59396913152196</v>
      </c>
      <c r="D9" s="83">
        <v>0</v>
      </c>
      <c r="E9" s="83">
        <v>0</v>
      </c>
      <c r="F9" s="83">
        <v>506.56634289154363</v>
      </c>
      <c r="G9" s="83">
        <v>97.003539999999987</v>
      </c>
      <c r="H9" s="149">
        <v>137.59396913152196</v>
      </c>
      <c r="I9" s="83">
        <v>0</v>
      </c>
      <c r="J9" s="83">
        <v>0</v>
      </c>
      <c r="K9" s="83">
        <v>506.56634289154363</v>
      </c>
      <c r="L9" s="85">
        <v>97.003539999999987</v>
      </c>
      <c r="M9" s="83">
        <v>137.59396913152196</v>
      </c>
      <c r="N9" s="83">
        <v>0</v>
      </c>
      <c r="O9" s="83">
        <v>0</v>
      </c>
      <c r="P9" s="83">
        <v>506.56634289154363</v>
      </c>
      <c r="Q9" s="85">
        <v>97.003539999999987</v>
      </c>
      <c r="S9" s="25">
        <v>2015</v>
      </c>
      <c r="T9" s="147">
        <v>14748059.417778328</v>
      </c>
      <c r="U9" s="34">
        <v>0</v>
      </c>
      <c r="V9" s="34">
        <v>0</v>
      </c>
      <c r="W9" s="129">
        <v>14748059.417778328</v>
      </c>
      <c r="X9" s="148">
        <v>14748059.417778328</v>
      </c>
      <c r="Y9" s="34">
        <v>0</v>
      </c>
      <c r="Z9" s="34">
        <v>0</v>
      </c>
      <c r="AA9" s="129">
        <v>14748059.417778328</v>
      </c>
      <c r="AB9" s="148">
        <v>14748059.417778328</v>
      </c>
      <c r="AC9" s="34">
        <v>0</v>
      </c>
      <c r="AD9" s="34">
        <v>0</v>
      </c>
      <c r="AE9" s="129">
        <v>14748059.417778328</v>
      </c>
      <c r="AG9" s="25">
        <v>2015</v>
      </c>
      <c r="AH9" s="147">
        <v>8016.9925080334488</v>
      </c>
      <c r="AI9" s="34">
        <v>0</v>
      </c>
      <c r="AJ9" s="34">
        <v>0</v>
      </c>
      <c r="AK9" s="129">
        <v>8016.9925080334488</v>
      </c>
      <c r="AL9" s="148">
        <v>8016.9925080334488</v>
      </c>
      <c r="AM9" s="34">
        <v>0</v>
      </c>
      <c r="AN9" s="34">
        <v>0</v>
      </c>
      <c r="AO9" s="129">
        <v>8016.9925080334488</v>
      </c>
      <c r="AP9" s="148">
        <v>8016.9925080334488</v>
      </c>
      <c r="AQ9" s="34">
        <v>0</v>
      </c>
      <c r="AR9" s="34">
        <v>0</v>
      </c>
      <c r="AS9" s="129">
        <v>8016.9925080334488</v>
      </c>
    </row>
    <row r="10" spans="2:45" x14ac:dyDescent="0.35">
      <c r="B10" s="25">
        <v>2016</v>
      </c>
      <c r="C10" s="149">
        <v>158.43774250624335</v>
      </c>
      <c r="D10" s="83">
        <v>0</v>
      </c>
      <c r="E10" s="83">
        <v>0</v>
      </c>
      <c r="F10" s="83">
        <v>577.06381397490384</v>
      </c>
      <c r="G10" s="83">
        <v>0</v>
      </c>
      <c r="H10" s="149">
        <v>158.43774250624335</v>
      </c>
      <c r="I10" s="83">
        <v>0</v>
      </c>
      <c r="J10" s="83">
        <v>0</v>
      </c>
      <c r="K10" s="83">
        <v>577.06381397490384</v>
      </c>
      <c r="L10" s="85">
        <v>0</v>
      </c>
      <c r="M10" s="83">
        <v>158.43774250624335</v>
      </c>
      <c r="N10" s="83">
        <v>0</v>
      </c>
      <c r="O10" s="83">
        <v>0</v>
      </c>
      <c r="P10" s="83">
        <v>577.06381397490384</v>
      </c>
      <c r="Q10" s="85">
        <v>0</v>
      </c>
      <c r="S10" s="25">
        <v>2016</v>
      </c>
      <c r="T10" s="147">
        <v>17091628.128484886</v>
      </c>
      <c r="U10" s="34">
        <v>0</v>
      </c>
      <c r="V10" s="34">
        <v>0</v>
      </c>
      <c r="W10" s="129">
        <v>17091628.128484886</v>
      </c>
      <c r="X10" s="148">
        <v>17091628.128484886</v>
      </c>
      <c r="Y10" s="34">
        <v>0</v>
      </c>
      <c r="Z10" s="34">
        <v>0</v>
      </c>
      <c r="AA10" s="129">
        <v>17091628.128484886</v>
      </c>
      <c r="AB10" s="148">
        <v>17091628.128484886</v>
      </c>
      <c r="AC10" s="34">
        <v>0</v>
      </c>
      <c r="AD10" s="34">
        <v>0</v>
      </c>
      <c r="AE10" s="129">
        <v>17091628.128484886</v>
      </c>
      <c r="AG10" s="25">
        <v>2016</v>
      </c>
      <c r="AH10" s="147">
        <v>9290.948102024835</v>
      </c>
      <c r="AI10" s="34">
        <v>0</v>
      </c>
      <c r="AJ10" s="34">
        <v>0</v>
      </c>
      <c r="AK10" s="129">
        <v>9290.948102024835</v>
      </c>
      <c r="AL10" s="148">
        <v>9290.948102024835</v>
      </c>
      <c r="AM10" s="34">
        <v>0</v>
      </c>
      <c r="AN10" s="34">
        <v>0</v>
      </c>
      <c r="AO10" s="129">
        <v>9290.948102024835</v>
      </c>
      <c r="AP10" s="148">
        <v>9290.948102024835</v>
      </c>
      <c r="AQ10" s="34">
        <v>0</v>
      </c>
      <c r="AR10" s="34">
        <v>0</v>
      </c>
      <c r="AS10" s="129">
        <v>9290.948102024835</v>
      </c>
    </row>
    <row r="11" spans="2:45" x14ac:dyDescent="0.35">
      <c r="B11" s="25">
        <v>2017</v>
      </c>
      <c r="C11" s="149">
        <v>181.09848073679791</v>
      </c>
      <c r="D11" s="83">
        <v>0</v>
      </c>
      <c r="E11" s="83">
        <v>0</v>
      </c>
      <c r="F11" s="83">
        <v>641.34409344592439</v>
      </c>
      <c r="G11" s="83">
        <v>0</v>
      </c>
      <c r="H11" s="149">
        <v>181.09848073679791</v>
      </c>
      <c r="I11" s="83">
        <v>0</v>
      </c>
      <c r="J11" s="83">
        <v>0</v>
      </c>
      <c r="K11" s="83">
        <v>641.34409344592439</v>
      </c>
      <c r="L11" s="85">
        <v>0</v>
      </c>
      <c r="M11" s="83">
        <v>181.09848073679791</v>
      </c>
      <c r="N11" s="83">
        <v>0</v>
      </c>
      <c r="O11" s="83">
        <v>0</v>
      </c>
      <c r="P11" s="83">
        <v>641.34409344592439</v>
      </c>
      <c r="Q11" s="85">
        <v>0</v>
      </c>
      <c r="S11" s="25">
        <v>2017</v>
      </c>
      <c r="T11" s="147">
        <v>19586736.639191441</v>
      </c>
      <c r="U11" s="34">
        <v>0</v>
      </c>
      <c r="V11" s="34">
        <v>0</v>
      </c>
      <c r="W11" s="129">
        <v>19586736.639191441</v>
      </c>
      <c r="X11" s="148">
        <v>19586736.639191441</v>
      </c>
      <c r="Y11" s="34">
        <v>0</v>
      </c>
      <c r="Z11" s="34">
        <v>0</v>
      </c>
      <c r="AA11" s="129">
        <v>19586736.639191441</v>
      </c>
      <c r="AB11" s="148">
        <v>19586736.639191441</v>
      </c>
      <c r="AC11" s="34">
        <v>0</v>
      </c>
      <c r="AD11" s="34">
        <v>0</v>
      </c>
      <c r="AE11" s="129">
        <v>19586736.639191441</v>
      </c>
      <c r="AG11" s="25">
        <v>2017</v>
      </c>
      <c r="AH11" s="147">
        <v>10647.280190906416</v>
      </c>
      <c r="AI11" s="34">
        <v>0</v>
      </c>
      <c r="AJ11" s="34">
        <v>0</v>
      </c>
      <c r="AK11" s="129">
        <v>10647.280190906416</v>
      </c>
      <c r="AL11" s="148">
        <v>10647.280190906416</v>
      </c>
      <c r="AM11" s="34">
        <v>0</v>
      </c>
      <c r="AN11" s="34">
        <v>0</v>
      </c>
      <c r="AO11" s="129">
        <v>10647.280190906416</v>
      </c>
      <c r="AP11" s="148">
        <v>10647.280190906416</v>
      </c>
      <c r="AQ11" s="34">
        <v>0</v>
      </c>
      <c r="AR11" s="34">
        <v>0</v>
      </c>
      <c r="AS11" s="129">
        <v>10647.280190906416</v>
      </c>
    </row>
    <row r="12" spans="2:45" x14ac:dyDescent="0.35">
      <c r="B12" s="25">
        <v>2018</v>
      </c>
      <c r="C12" s="149">
        <v>198.9677444287926</v>
      </c>
      <c r="D12" s="83">
        <v>0</v>
      </c>
      <c r="E12" s="83">
        <v>0</v>
      </c>
      <c r="F12" s="83">
        <v>694.85393021720154</v>
      </c>
      <c r="G12" s="83">
        <v>0</v>
      </c>
      <c r="H12" s="149">
        <v>198.9677444287926</v>
      </c>
      <c r="I12" s="83">
        <v>0</v>
      </c>
      <c r="J12" s="83">
        <v>0</v>
      </c>
      <c r="K12" s="83">
        <v>694.85393021720154</v>
      </c>
      <c r="L12" s="85">
        <v>0</v>
      </c>
      <c r="M12" s="83">
        <v>198.9677444287926</v>
      </c>
      <c r="N12" s="83">
        <v>0</v>
      </c>
      <c r="O12" s="83">
        <v>0</v>
      </c>
      <c r="P12" s="83">
        <v>694.85393021720154</v>
      </c>
      <c r="Q12" s="85">
        <v>0</v>
      </c>
      <c r="S12" s="25">
        <v>2018</v>
      </c>
      <c r="T12" s="147">
        <v>21682223.169897996</v>
      </c>
      <c r="U12" s="34">
        <v>0</v>
      </c>
      <c r="V12" s="34">
        <v>0</v>
      </c>
      <c r="W12" s="129">
        <v>21682223.169897996</v>
      </c>
      <c r="X12" s="148">
        <v>21682223.169897996</v>
      </c>
      <c r="Y12" s="34">
        <v>0</v>
      </c>
      <c r="Z12" s="34">
        <v>0</v>
      </c>
      <c r="AA12" s="129">
        <v>21682223.169897996</v>
      </c>
      <c r="AB12" s="148">
        <v>21682223.169897996</v>
      </c>
      <c r="AC12" s="34">
        <v>0</v>
      </c>
      <c r="AD12" s="34">
        <v>0</v>
      </c>
      <c r="AE12" s="129">
        <v>21682223.169897996</v>
      </c>
      <c r="AG12" s="25">
        <v>2018</v>
      </c>
      <c r="AH12" s="147">
        <v>11786.379196509024</v>
      </c>
      <c r="AI12" s="34">
        <v>0</v>
      </c>
      <c r="AJ12" s="34">
        <v>0</v>
      </c>
      <c r="AK12" s="129">
        <v>11786.379196509024</v>
      </c>
      <c r="AL12" s="148">
        <v>11786.379196509024</v>
      </c>
      <c r="AM12" s="34">
        <v>0</v>
      </c>
      <c r="AN12" s="34">
        <v>0</v>
      </c>
      <c r="AO12" s="129">
        <v>11786.379196509024</v>
      </c>
      <c r="AP12" s="148">
        <v>11786.379196509024</v>
      </c>
      <c r="AQ12" s="34">
        <v>0</v>
      </c>
      <c r="AR12" s="34">
        <v>0</v>
      </c>
      <c r="AS12" s="129">
        <v>11786.379196509024</v>
      </c>
    </row>
    <row r="13" spans="2:45" x14ac:dyDescent="0.35">
      <c r="B13" s="25">
        <v>2019</v>
      </c>
      <c r="C13" s="149">
        <v>214.92552307387393</v>
      </c>
      <c r="D13" s="83">
        <v>0</v>
      </c>
      <c r="E13" s="83">
        <v>0</v>
      </c>
      <c r="F13" s="83">
        <v>737.26790181654087</v>
      </c>
      <c r="G13" s="83">
        <v>0</v>
      </c>
      <c r="H13" s="149">
        <v>214.92552307387393</v>
      </c>
      <c r="I13" s="83">
        <v>0</v>
      </c>
      <c r="J13" s="83">
        <v>0</v>
      </c>
      <c r="K13" s="83">
        <v>737.26790181654087</v>
      </c>
      <c r="L13" s="85">
        <v>0</v>
      </c>
      <c r="M13" s="83">
        <v>214.92552307387393</v>
      </c>
      <c r="N13" s="83">
        <v>0</v>
      </c>
      <c r="O13" s="83">
        <v>0</v>
      </c>
      <c r="P13" s="83">
        <v>737.26790181654087</v>
      </c>
      <c r="Q13" s="85">
        <v>0</v>
      </c>
      <c r="S13" s="25">
        <v>2019</v>
      </c>
      <c r="T13" s="147">
        <v>23618286.660152063</v>
      </c>
      <c r="U13" s="34">
        <v>0</v>
      </c>
      <c r="V13" s="34">
        <v>0</v>
      </c>
      <c r="W13" s="129">
        <v>23618286.660152063</v>
      </c>
      <c r="X13" s="148">
        <v>23618286.660152063</v>
      </c>
      <c r="Y13" s="34">
        <v>0</v>
      </c>
      <c r="Z13" s="34">
        <v>0</v>
      </c>
      <c r="AA13" s="129">
        <v>23618286.660152063</v>
      </c>
      <c r="AB13" s="148">
        <v>23618286.660152063</v>
      </c>
      <c r="AC13" s="34">
        <v>0</v>
      </c>
      <c r="AD13" s="34">
        <v>0</v>
      </c>
      <c r="AE13" s="129">
        <v>23618286.660152063</v>
      </c>
      <c r="AG13" s="25">
        <v>2019</v>
      </c>
      <c r="AH13" s="147">
        <v>12838.816405823043</v>
      </c>
      <c r="AI13" s="34">
        <v>0</v>
      </c>
      <c r="AJ13" s="34">
        <v>0</v>
      </c>
      <c r="AK13" s="129">
        <v>12838.816405823043</v>
      </c>
      <c r="AL13" s="148">
        <v>12838.816405823043</v>
      </c>
      <c r="AM13" s="34">
        <v>0</v>
      </c>
      <c r="AN13" s="34">
        <v>0</v>
      </c>
      <c r="AO13" s="129">
        <v>12838.816405823043</v>
      </c>
      <c r="AP13" s="148">
        <v>12838.816405823043</v>
      </c>
      <c r="AQ13" s="34">
        <v>0</v>
      </c>
      <c r="AR13" s="34">
        <v>0</v>
      </c>
      <c r="AS13" s="129">
        <v>12838.816405823043</v>
      </c>
    </row>
    <row r="14" spans="2:45" x14ac:dyDescent="0.35">
      <c r="B14" s="25">
        <v>2020</v>
      </c>
      <c r="C14" s="149">
        <v>231.85768764325491</v>
      </c>
      <c r="D14" s="83">
        <v>0</v>
      </c>
      <c r="E14" s="83">
        <v>0</v>
      </c>
      <c r="F14" s="83">
        <v>775.41497120454073</v>
      </c>
      <c r="G14" s="83">
        <v>0</v>
      </c>
      <c r="H14" s="149">
        <v>231.85768764325491</v>
      </c>
      <c r="I14" s="83">
        <v>0</v>
      </c>
      <c r="J14" s="83">
        <v>0</v>
      </c>
      <c r="K14" s="83">
        <v>775.41497120454073</v>
      </c>
      <c r="L14" s="85">
        <v>0</v>
      </c>
      <c r="M14" s="83">
        <v>231.85768764325491</v>
      </c>
      <c r="N14" s="83">
        <v>0</v>
      </c>
      <c r="O14" s="83">
        <v>0</v>
      </c>
      <c r="P14" s="83">
        <v>775.41497120454073</v>
      </c>
      <c r="Q14" s="85">
        <v>0</v>
      </c>
      <c r="S14" s="25">
        <v>2020</v>
      </c>
      <c r="T14" s="147">
        <v>25635616.580858618</v>
      </c>
      <c r="U14" s="34">
        <v>0</v>
      </c>
      <c r="V14" s="34">
        <v>0</v>
      </c>
      <c r="W14" s="129">
        <v>25635616.580858618</v>
      </c>
      <c r="X14" s="148">
        <v>25635616.580858618</v>
      </c>
      <c r="Y14" s="34">
        <v>0</v>
      </c>
      <c r="Z14" s="34">
        <v>0</v>
      </c>
      <c r="AA14" s="129">
        <v>25635616.580858618</v>
      </c>
      <c r="AB14" s="148">
        <v>25635616.580858618</v>
      </c>
      <c r="AC14" s="34">
        <v>0</v>
      </c>
      <c r="AD14" s="34">
        <v>0</v>
      </c>
      <c r="AE14" s="129">
        <v>25635616.580858618</v>
      </c>
      <c r="AG14" s="25">
        <v>2020</v>
      </c>
      <c r="AH14" s="147">
        <v>13935.429756935544</v>
      </c>
      <c r="AI14" s="34">
        <v>0</v>
      </c>
      <c r="AJ14" s="34">
        <v>0</v>
      </c>
      <c r="AK14" s="129">
        <v>13935.429756935544</v>
      </c>
      <c r="AL14" s="148">
        <v>13935.429756935544</v>
      </c>
      <c r="AM14" s="34">
        <v>0</v>
      </c>
      <c r="AN14" s="34">
        <v>0</v>
      </c>
      <c r="AO14" s="129">
        <v>13935.429756935544</v>
      </c>
      <c r="AP14" s="148">
        <v>13935.429756935544</v>
      </c>
      <c r="AQ14" s="34">
        <v>0</v>
      </c>
      <c r="AR14" s="34">
        <v>0</v>
      </c>
      <c r="AS14" s="129">
        <v>13935.429756935544</v>
      </c>
    </row>
    <row r="15" spans="2:45" x14ac:dyDescent="0.35">
      <c r="B15" s="25">
        <v>2021</v>
      </c>
      <c r="C15" s="149">
        <v>243.54789353844251</v>
      </c>
      <c r="D15" s="83">
        <v>0</v>
      </c>
      <c r="E15" s="83">
        <v>0</v>
      </c>
      <c r="F15" s="83">
        <v>810.82718747828085</v>
      </c>
      <c r="G15" s="83">
        <v>0</v>
      </c>
      <c r="H15" s="149">
        <v>243.54789353844251</v>
      </c>
      <c r="I15" s="83">
        <v>0</v>
      </c>
      <c r="J15" s="83">
        <v>0</v>
      </c>
      <c r="K15" s="83">
        <v>810.82718747828085</v>
      </c>
      <c r="L15" s="85">
        <v>0</v>
      </c>
      <c r="M15" s="83">
        <v>243.54789353844251</v>
      </c>
      <c r="N15" s="83">
        <v>0</v>
      </c>
      <c r="O15" s="83">
        <v>0</v>
      </c>
      <c r="P15" s="83">
        <v>810.82718747828085</v>
      </c>
      <c r="Q15" s="85">
        <v>0</v>
      </c>
      <c r="S15" s="25">
        <v>2021</v>
      </c>
      <c r="T15" s="147">
        <v>27052987.367565177</v>
      </c>
      <c r="U15" s="34">
        <v>0</v>
      </c>
      <c r="V15" s="34">
        <v>0</v>
      </c>
      <c r="W15" s="129">
        <v>27052987.367565177</v>
      </c>
      <c r="X15" s="148">
        <v>27052987.367565177</v>
      </c>
      <c r="Y15" s="34">
        <v>0</v>
      </c>
      <c r="Z15" s="34">
        <v>0</v>
      </c>
      <c r="AA15" s="129">
        <v>27052987.367565177</v>
      </c>
      <c r="AB15" s="148">
        <v>27052987.367565177</v>
      </c>
      <c r="AC15" s="34">
        <v>0</v>
      </c>
      <c r="AD15" s="34">
        <v>0</v>
      </c>
      <c r="AE15" s="129">
        <v>27052987.367565177</v>
      </c>
      <c r="AG15" s="25">
        <v>2021</v>
      </c>
      <c r="AH15" s="147">
        <v>14705.90746225548</v>
      </c>
      <c r="AI15" s="34">
        <v>0</v>
      </c>
      <c r="AJ15" s="34">
        <v>0</v>
      </c>
      <c r="AK15" s="129">
        <v>14705.90746225548</v>
      </c>
      <c r="AL15" s="148">
        <v>14705.90746225548</v>
      </c>
      <c r="AM15" s="34">
        <v>0</v>
      </c>
      <c r="AN15" s="34">
        <v>0</v>
      </c>
      <c r="AO15" s="129">
        <v>14705.90746225548</v>
      </c>
      <c r="AP15" s="148">
        <v>14705.90746225548</v>
      </c>
      <c r="AQ15" s="34">
        <v>0</v>
      </c>
      <c r="AR15" s="34">
        <v>0</v>
      </c>
      <c r="AS15" s="129">
        <v>14705.90746225548</v>
      </c>
    </row>
    <row r="16" spans="2:45" x14ac:dyDescent="0.35">
      <c r="B16" s="25">
        <v>2022</v>
      </c>
      <c r="C16" s="149">
        <v>253.2699316532761</v>
      </c>
      <c r="D16" s="83">
        <v>0</v>
      </c>
      <c r="E16" s="83">
        <v>0</v>
      </c>
      <c r="F16" s="83">
        <v>843.92849446737682</v>
      </c>
      <c r="G16" s="83">
        <v>0</v>
      </c>
      <c r="H16" s="149">
        <v>253.2699316532761</v>
      </c>
      <c r="I16" s="83">
        <v>0</v>
      </c>
      <c r="J16" s="307">
        <v>0</v>
      </c>
      <c r="K16" s="83">
        <v>843.92849446737682</v>
      </c>
      <c r="L16" s="85">
        <v>0</v>
      </c>
      <c r="M16" s="83">
        <v>253.2699316532761</v>
      </c>
      <c r="N16" s="83">
        <v>0</v>
      </c>
      <c r="O16" s="83">
        <v>0</v>
      </c>
      <c r="P16" s="83">
        <v>843.92849446737682</v>
      </c>
      <c r="Q16" s="85">
        <v>0</v>
      </c>
      <c r="S16" s="25">
        <v>2022</v>
      </c>
      <c r="T16" s="147">
        <v>28468973.174548734</v>
      </c>
      <c r="U16" s="34">
        <v>0</v>
      </c>
      <c r="V16" s="34">
        <v>0</v>
      </c>
      <c r="W16" s="129">
        <v>28468973.174548734</v>
      </c>
      <c r="X16" s="148">
        <v>28468973.174548734</v>
      </c>
      <c r="Y16" s="34">
        <v>0</v>
      </c>
      <c r="Z16" s="34">
        <v>0</v>
      </c>
      <c r="AA16" s="129">
        <v>28468973.174548734</v>
      </c>
      <c r="AB16" s="148">
        <v>28468973.174548734</v>
      </c>
      <c r="AC16" s="34">
        <v>0</v>
      </c>
      <c r="AD16" s="34">
        <v>0</v>
      </c>
      <c r="AE16" s="129">
        <v>28468973.174548734</v>
      </c>
      <c r="AG16" s="25">
        <v>2022</v>
      </c>
      <c r="AH16" s="147">
        <v>15475.632297536822</v>
      </c>
      <c r="AI16" s="34">
        <v>0</v>
      </c>
      <c r="AJ16" s="34">
        <v>0</v>
      </c>
      <c r="AK16" s="129">
        <v>15475.632297536822</v>
      </c>
      <c r="AL16" s="148">
        <v>15475.632297536822</v>
      </c>
      <c r="AM16" s="34">
        <v>0</v>
      </c>
      <c r="AN16" s="34">
        <v>0</v>
      </c>
      <c r="AO16" s="129">
        <v>15475.632297536822</v>
      </c>
      <c r="AP16" s="148">
        <v>15475.632297536822</v>
      </c>
      <c r="AQ16" s="34">
        <v>0</v>
      </c>
      <c r="AR16" s="34">
        <v>0</v>
      </c>
      <c r="AS16" s="129">
        <v>15475.632297536822</v>
      </c>
    </row>
    <row r="17" spans="2:45" x14ac:dyDescent="0.35">
      <c r="B17" s="25">
        <v>2023</v>
      </c>
      <c r="C17" s="149">
        <v>256.83105657853571</v>
      </c>
      <c r="D17" s="83">
        <v>0</v>
      </c>
      <c r="E17" s="83">
        <v>0</v>
      </c>
      <c r="F17" s="83">
        <v>874.35589254029105</v>
      </c>
      <c r="G17" s="83">
        <v>0</v>
      </c>
      <c r="H17" s="149">
        <v>256.83105657853571</v>
      </c>
      <c r="I17" s="83">
        <v>0</v>
      </c>
      <c r="J17" s="307">
        <v>0</v>
      </c>
      <c r="K17" s="83">
        <v>874.35589254029105</v>
      </c>
      <c r="L17" s="85">
        <v>0</v>
      </c>
      <c r="M17" s="83">
        <v>256.83105657853571</v>
      </c>
      <c r="N17" s="83">
        <v>0</v>
      </c>
      <c r="O17" s="83">
        <v>0</v>
      </c>
      <c r="P17" s="83">
        <v>874.35589254029105</v>
      </c>
      <c r="Q17" s="85">
        <v>0</v>
      </c>
      <c r="S17" s="25">
        <v>2023</v>
      </c>
      <c r="T17" s="147">
        <v>29125728.491427559</v>
      </c>
      <c r="U17" s="34">
        <v>0</v>
      </c>
      <c r="V17" s="34">
        <v>0</v>
      </c>
      <c r="W17" s="129">
        <v>29125728.491427559</v>
      </c>
      <c r="X17" s="148">
        <v>29125728.491427559</v>
      </c>
      <c r="Y17" s="34">
        <v>0</v>
      </c>
      <c r="Z17" s="34">
        <v>0</v>
      </c>
      <c r="AA17" s="129">
        <v>29125728.491427559</v>
      </c>
      <c r="AB17" s="148">
        <v>29125728.491427559</v>
      </c>
      <c r="AC17" s="34">
        <v>0</v>
      </c>
      <c r="AD17" s="34">
        <v>0</v>
      </c>
      <c r="AE17" s="129">
        <v>29125728.491427559</v>
      </c>
      <c r="AG17" s="25">
        <v>2023</v>
      </c>
      <c r="AH17" s="147">
        <v>15832.642145807547</v>
      </c>
      <c r="AI17" s="34">
        <v>0</v>
      </c>
      <c r="AJ17" s="34">
        <v>0</v>
      </c>
      <c r="AK17" s="129">
        <v>15832.642145807547</v>
      </c>
      <c r="AL17" s="148">
        <v>15832.642145807547</v>
      </c>
      <c r="AM17" s="34">
        <v>0</v>
      </c>
      <c r="AN17" s="34">
        <v>0</v>
      </c>
      <c r="AO17" s="129">
        <v>15832.642145807547</v>
      </c>
      <c r="AP17" s="148">
        <v>15832.642145807547</v>
      </c>
      <c r="AQ17" s="34">
        <v>0</v>
      </c>
      <c r="AR17" s="34">
        <v>0</v>
      </c>
      <c r="AS17" s="129">
        <v>15832.642145807547</v>
      </c>
    </row>
    <row r="18" spans="2:45" x14ac:dyDescent="0.35">
      <c r="B18" s="25">
        <v>2024</v>
      </c>
      <c r="C18" s="149">
        <v>263.02625287481254</v>
      </c>
      <c r="D18" s="83">
        <v>0</v>
      </c>
      <c r="E18" s="83">
        <v>0</v>
      </c>
      <c r="F18" s="83">
        <v>900.95296614242363</v>
      </c>
      <c r="G18" s="83">
        <v>0</v>
      </c>
      <c r="H18" s="149">
        <v>263.02625287481254</v>
      </c>
      <c r="I18" s="83">
        <v>0</v>
      </c>
      <c r="J18" s="307">
        <v>0</v>
      </c>
      <c r="K18" s="83">
        <v>900.95296614242363</v>
      </c>
      <c r="L18" s="85">
        <v>0</v>
      </c>
      <c r="M18" s="83">
        <v>263.02625287481254</v>
      </c>
      <c r="N18" s="83">
        <v>0</v>
      </c>
      <c r="O18" s="83">
        <v>0</v>
      </c>
      <c r="P18" s="83">
        <v>900.95296614242363</v>
      </c>
      <c r="Q18" s="85">
        <v>0</v>
      </c>
      <c r="S18" s="25">
        <v>2024</v>
      </c>
      <c r="T18" s="147">
        <v>29983280.079358846</v>
      </c>
      <c r="U18" s="34">
        <v>0</v>
      </c>
      <c r="V18" s="34">
        <v>0</v>
      </c>
      <c r="W18" s="129">
        <v>29983280.079358846</v>
      </c>
      <c r="X18" s="148">
        <v>29983280.079358846</v>
      </c>
      <c r="Y18" s="34">
        <v>0</v>
      </c>
      <c r="Z18" s="34">
        <v>0</v>
      </c>
      <c r="AA18" s="129">
        <v>29983280.079358846</v>
      </c>
      <c r="AB18" s="148">
        <v>29983280.079358846</v>
      </c>
      <c r="AC18" s="34">
        <v>0</v>
      </c>
      <c r="AD18" s="34">
        <v>0</v>
      </c>
      <c r="AE18" s="129">
        <v>29983280.079358846</v>
      </c>
      <c r="AG18" s="25">
        <v>2024</v>
      </c>
      <c r="AH18" s="147">
        <v>16298.804130984372</v>
      </c>
      <c r="AI18" s="34">
        <v>0</v>
      </c>
      <c r="AJ18" s="34">
        <v>0</v>
      </c>
      <c r="AK18" s="129">
        <v>16298.804130984372</v>
      </c>
      <c r="AL18" s="148">
        <v>16298.804130984372</v>
      </c>
      <c r="AM18" s="34">
        <v>0</v>
      </c>
      <c r="AN18" s="34">
        <v>0</v>
      </c>
      <c r="AO18" s="129">
        <v>16298.804130984372</v>
      </c>
      <c r="AP18" s="148">
        <v>16298.804130984372</v>
      </c>
      <c r="AQ18" s="34">
        <v>0</v>
      </c>
      <c r="AR18" s="34">
        <v>0</v>
      </c>
      <c r="AS18" s="129">
        <v>16298.804130984372</v>
      </c>
    </row>
    <row r="19" spans="2:45" x14ac:dyDescent="0.35">
      <c r="B19" s="25">
        <v>2025</v>
      </c>
      <c r="C19" s="149">
        <v>268.62222782421975</v>
      </c>
      <c r="D19" s="83">
        <v>0</v>
      </c>
      <c r="E19" s="83">
        <v>0</v>
      </c>
      <c r="F19" s="83">
        <v>923.22485013311757</v>
      </c>
      <c r="G19" s="83">
        <v>97.003539999999987</v>
      </c>
      <c r="H19" s="149">
        <v>268.62222782421975</v>
      </c>
      <c r="I19" s="83">
        <v>0</v>
      </c>
      <c r="J19" s="307">
        <v>0</v>
      </c>
      <c r="K19" s="83">
        <v>923.22485013311757</v>
      </c>
      <c r="L19" s="85">
        <v>97.003539999999987</v>
      </c>
      <c r="M19" s="83">
        <v>268.62222782421975</v>
      </c>
      <c r="N19" s="83">
        <v>0</v>
      </c>
      <c r="O19" s="83">
        <v>0</v>
      </c>
      <c r="P19" s="83">
        <v>923.22485013311757</v>
      </c>
      <c r="Q19" s="85">
        <v>97.003539999999987</v>
      </c>
      <c r="S19" s="25">
        <v>2025</v>
      </c>
      <c r="T19" s="147">
        <v>30728406.772124395</v>
      </c>
      <c r="U19" s="34">
        <v>0</v>
      </c>
      <c r="V19" s="34">
        <v>0</v>
      </c>
      <c r="W19" s="129">
        <v>30728406.772124395</v>
      </c>
      <c r="X19" s="148">
        <v>30728406.772124395</v>
      </c>
      <c r="Y19" s="34">
        <v>0</v>
      </c>
      <c r="Z19" s="34">
        <v>0</v>
      </c>
      <c r="AA19" s="129">
        <v>30728406.772124395</v>
      </c>
      <c r="AB19" s="148">
        <v>30728406.772124395</v>
      </c>
      <c r="AC19" s="34">
        <v>0</v>
      </c>
      <c r="AD19" s="34">
        <v>0</v>
      </c>
      <c r="AE19" s="129">
        <v>30728406.772124395</v>
      </c>
      <c r="AG19" s="25">
        <v>2025</v>
      </c>
      <c r="AH19" s="147">
        <v>16703.852344055449</v>
      </c>
      <c r="AI19" s="34">
        <v>0</v>
      </c>
      <c r="AJ19" s="34">
        <v>0</v>
      </c>
      <c r="AK19" s="129">
        <v>16703.852344055449</v>
      </c>
      <c r="AL19" s="148">
        <v>16703.852344055449</v>
      </c>
      <c r="AM19" s="34">
        <v>0</v>
      </c>
      <c r="AN19" s="34">
        <v>0</v>
      </c>
      <c r="AO19" s="129">
        <v>16703.852344055449</v>
      </c>
      <c r="AP19" s="148">
        <v>16703.852344055449</v>
      </c>
      <c r="AQ19" s="34">
        <v>0</v>
      </c>
      <c r="AR19" s="34">
        <v>0</v>
      </c>
      <c r="AS19" s="129">
        <v>16703.852344055449</v>
      </c>
    </row>
    <row r="20" spans="2:45" x14ac:dyDescent="0.35">
      <c r="B20" s="25">
        <v>2026</v>
      </c>
      <c r="C20" s="149">
        <v>273.62999673558346</v>
      </c>
      <c r="D20" s="83">
        <v>0</v>
      </c>
      <c r="E20" s="83">
        <v>0</v>
      </c>
      <c r="F20" s="83">
        <v>942.80020728443492</v>
      </c>
      <c r="G20" s="83">
        <v>0</v>
      </c>
      <c r="H20" s="149">
        <v>273.62999673558346</v>
      </c>
      <c r="I20" s="83">
        <v>0</v>
      </c>
      <c r="J20" s="307">
        <v>0</v>
      </c>
      <c r="K20" s="83">
        <v>942.80020728443492</v>
      </c>
      <c r="L20" s="85">
        <v>0</v>
      </c>
      <c r="M20" s="83">
        <v>273.62999673558346</v>
      </c>
      <c r="N20" s="83">
        <v>0</v>
      </c>
      <c r="O20" s="83">
        <v>0</v>
      </c>
      <c r="P20" s="83">
        <v>942.80020728443492</v>
      </c>
      <c r="Q20" s="85">
        <v>0</v>
      </c>
      <c r="S20" s="25">
        <v>2026</v>
      </c>
      <c r="T20" s="147">
        <v>31426386.72362794</v>
      </c>
      <c r="U20" s="34">
        <v>0</v>
      </c>
      <c r="V20" s="34">
        <v>0</v>
      </c>
      <c r="W20" s="129">
        <v>31426386.72362794</v>
      </c>
      <c r="X20" s="148">
        <v>31426386.72362794</v>
      </c>
      <c r="Y20" s="34">
        <v>0</v>
      </c>
      <c r="Z20" s="34">
        <v>0</v>
      </c>
      <c r="AA20" s="129">
        <v>31426386.72362794</v>
      </c>
      <c r="AB20" s="148">
        <v>31426386.72362794</v>
      </c>
      <c r="AC20" s="34">
        <v>0</v>
      </c>
      <c r="AD20" s="34">
        <v>0</v>
      </c>
      <c r="AE20" s="129">
        <v>31426386.72362794</v>
      </c>
      <c r="AG20" s="25">
        <v>2026</v>
      </c>
      <c r="AH20" s="147">
        <v>17083.271756701426</v>
      </c>
      <c r="AI20" s="34">
        <v>0</v>
      </c>
      <c r="AJ20" s="34">
        <v>0</v>
      </c>
      <c r="AK20" s="129">
        <v>17083.271756701426</v>
      </c>
      <c r="AL20" s="148">
        <v>17083.271756701426</v>
      </c>
      <c r="AM20" s="34">
        <v>0</v>
      </c>
      <c r="AN20" s="34">
        <v>0</v>
      </c>
      <c r="AO20" s="129">
        <v>17083.271756701426</v>
      </c>
      <c r="AP20" s="148">
        <v>17083.271756701426</v>
      </c>
      <c r="AQ20" s="34">
        <v>0</v>
      </c>
      <c r="AR20" s="34">
        <v>0</v>
      </c>
      <c r="AS20" s="129">
        <v>17083.271756701426</v>
      </c>
    </row>
    <row r="21" spans="2:45" x14ac:dyDescent="0.35">
      <c r="B21" s="25">
        <v>2027</v>
      </c>
      <c r="C21" s="149">
        <v>277.25964359835592</v>
      </c>
      <c r="D21" s="83">
        <v>0</v>
      </c>
      <c r="E21" s="83">
        <v>0</v>
      </c>
      <c r="F21" s="83">
        <v>961.46180313298669</v>
      </c>
      <c r="G21" s="83">
        <v>0</v>
      </c>
      <c r="H21" s="149">
        <v>277.25964359835592</v>
      </c>
      <c r="I21" s="83">
        <v>0</v>
      </c>
      <c r="J21" s="307">
        <v>0</v>
      </c>
      <c r="K21" s="83">
        <v>961.46180313298669</v>
      </c>
      <c r="L21" s="85">
        <v>0</v>
      </c>
      <c r="M21" s="83">
        <v>277.25964359835592</v>
      </c>
      <c r="N21" s="83">
        <v>0</v>
      </c>
      <c r="O21" s="83">
        <v>0</v>
      </c>
      <c r="P21" s="83">
        <v>961.46180313298669</v>
      </c>
      <c r="Q21" s="85">
        <v>0</v>
      </c>
      <c r="S21" s="25">
        <v>2027</v>
      </c>
      <c r="T21" s="147">
        <v>31803543.473251492</v>
      </c>
      <c r="U21" s="34">
        <v>0</v>
      </c>
      <c r="V21" s="34">
        <v>0</v>
      </c>
      <c r="W21" s="129">
        <v>31803543.473251492</v>
      </c>
      <c r="X21" s="148">
        <v>31803543.473251492</v>
      </c>
      <c r="Y21" s="34">
        <v>0</v>
      </c>
      <c r="Z21" s="34">
        <v>0</v>
      </c>
      <c r="AA21" s="129">
        <v>31803543.473251492</v>
      </c>
      <c r="AB21" s="148">
        <v>31803543.473251492</v>
      </c>
      <c r="AC21" s="34">
        <v>0</v>
      </c>
      <c r="AD21" s="34">
        <v>0</v>
      </c>
      <c r="AE21" s="129">
        <v>31803543.473251492</v>
      </c>
      <c r="AG21" s="25">
        <v>2027</v>
      </c>
      <c r="AH21" s="147">
        <v>17288.292820858609</v>
      </c>
      <c r="AI21" s="34">
        <v>0</v>
      </c>
      <c r="AJ21" s="34">
        <v>0</v>
      </c>
      <c r="AK21" s="129">
        <v>17288.292820858609</v>
      </c>
      <c r="AL21" s="148">
        <v>17288.292820858609</v>
      </c>
      <c r="AM21" s="34">
        <v>0</v>
      </c>
      <c r="AN21" s="34">
        <v>0</v>
      </c>
      <c r="AO21" s="129">
        <v>17288.292820858609</v>
      </c>
      <c r="AP21" s="148">
        <v>17288.292820858609</v>
      </c>
      <c r="AQ21" s="34">
        <v>0</v>
      </c>
      <c r="AR21" s="34">
        <v>0</v>
      </c>
      <c r="AS21" s="129">
        <v>17288.292820858609</v>
      </c>
    </row>
    <row r="22" spans="2:45" x14ac:dyDescent="0.35">
      <c r="B22" s="25">
        <v>2028</v>
      </c>
      <c r="C22" s="149">
        <v>280.58520053344989</v>
      </c>
      <c r="D22" s="83">
        <v>0</v>
      </c>
      <c r="E22" s="83">
        <v>0</v>
      </c>
      <c r="F22" s="83">
        <v>973.06947549900337</v>
      </c>
      <c r="G22" s="83">
        <v>0</v>
      </c>
      <c r="H22" s="149">
        <v>280.58520053344989</v>
      </c>
      <c r="I22" s="83">
        <v>0</v>
      </c>
      <c r="J22" s="307">
        <v>0</v>
      </c>
      <c r="K22" s="83">
        <v>973.06947549900337</v>
      </c>
      <c r="L22" s="85">
        <v>0</v>
      </c>
      <c r="M22" s="83">
        <v>280.58520053344989</v>
      </c>
      <c r="N22" s="83">
        <v>0</v>
      </c>
      <c r="O22" s="83">
        <v>0</v>
      </c>
      <c r="P22" s="83">
        <v>973.06947549900337</v>
      </c>
      <c r="Q22" s="85">
        <v>0</v>
      </c>
      <c r="S22" s="25">
        <v>2028</v>
      </c>
      <c r="T22" s="147">
        <v>32222571.70273789</v>
      </c>
      <c r="U22" s="34">
        <v>0</v>
      </c>
      <c r="V22" s="34">
        <v>0</v>
      </c>
      <c r="W22" s="129">
        <v>32222571.70273789</v>
      </c>
      <c r="X22" s="148">
        <v>32222571.70273789</v>
      </c>
      <c r="Y22" s="34">
        <v>0</v>
      </c>
      <c r="Z22" s="34">
        <v>0</v>
      </c>
      <c r="AA22" s="129">
        <v>32222571.70273789</v>
      </c>
      <c r="AB22" s="148">
        <v>32222571.70273789</v>
      </c>
      <c r="AC22" s="34">
        <v>0</v>
      </c>
      <c r="AD22" s="34">
        <v>0</v>
      </c>
      <c r="AE22" s="129">
        <v>32222571.70273789</v>
      </c>
      <c r="AG22" s="25">
        <v>2028</v>
      </c>
      <c r="AH22" s="147">
        <v>17516.075072155847</v>
      </c>
      <c r="AI22" s="34">
        <v>0</v>
      </c>
      <c r="AJ22" s="34">
        <v>0</v>
      </c>
      <c r="AK22" s="129">
        <v>17516.075072155847</v>
      </c>
      <c r="AL22" s="148">
        <v>17516.075072155847</v>
      </c>
      <c r="AM22" s="34">
        <v>0</v>
      </c>
      <c r="AN22" s="34">
        <v>0</v>
      </c>
      <c r="AO22" s="129">
        <v>17516.075072155847</v>
      </c>
      <c r="AP22" s="148">
        <v>17516.075072155847</v>
      </c>
      <c r="AQ22" s="34">
        <v>0</v>
      </c>
      <c r="AR22" s="34">
        <v>0</v>
      </c>
      <c r="AS22" s="129">
        <v>17516.075072155847</v>
      </c>
    </row>
    <row r="23" spans="2:45" x14ac:dyDescent="0.35">
      <c r="B23" s="25">
        <v>2029</v>
      </c>
      <c r="C23" s="149">
        <v>282.67154503592951</v>
      </c>
      <c r="D23" s="83">
        <v>0</v>
      </c>
      <c r="E23" s="83">
        <v>0</v>
      </c>
      <c r="F23" s="83">
        <v>984.44937356577873</v>
      </c>
      <c r="G23" s="83">
        <v>0</v>
      </c>
      <c r="H23" s="149">
        <v>282.67154503592951</v>
      </c>
      <c r="I23" s="83">
        <v>0</v>
      </c>
      <c r="J23" s="307">
        <v>0</v>
      </c>
      <c r="K23" s="83">
        <v>984.44937356577873</v>
      </c>
      <c r="L23" s="85">
        <v>0</v>
      </c>
      <c r="M23" s="83">
        <v>282.67154503592951</v>
      </c>
      <c r="N23" s="83">
        <v>0</v>
      </c>
      <c r="O23" s="83">
        <v>0</v>
      </c>
      <c r="P23" s="83">
        <v>984.44937356577873</v>
      </c>
      <c r="Q23" s="85">
        <v>0</v>
      </c>
      <c r="S23" s="25">
        <v>2029</v>
      </c>
      <c r="T23" s="147">
        <v>32385060.664157562</v>
      </c>
      <c r="U23" s="34">
        <v>0</v>
      </c>
      <c r="V23" s="34">
        <v>0</v>
      </c>
      <c r="W23" s="129">
        <v>32385060.664157562</v>
      </c>
      <c r="X23" s="148">
        <v>32385060.664157562</v>
      </c>
      <c r="Y23" s="34">
        <v>0</v>
      </c>
      <c r="Z23" s="34">
        <v>0</v>
      </c>
      <c r="AA23" s="129">
        <v>32385060.664157562</v>
      </c>
      <c r="AB23" s="148">
        <v>32385060.664157562</v>
      </c>
      <c r="AC23" s="34">
        <v>0</v>
      </c>
      <c r="AD23" s="34">
        <v>0</v>
      </c>
      <c r="AE23" s="129">
        <v>32385060.664157562</v>
      </c>
      <c r="AG23" s="25">
        <v>2029</v>
      </c>
      <c r="AH23" s="147">
        <v>17604.403492149144</v>
      </c>
      <c r="AI23" s="34">
        <v>0</v>
      </c>
      <c r="AJ23" s="34">
        <v>0</v>
      </c>
      <c r="AK23" s="129">
        <v>17604.403492149144</v>
      </c>
      <c r="AL23" s="148">
        <v>17604.403492149144</v>
      </c>
      <c r="AM23" s="34">
        <v>0</v>
      </c>
      <c r="AN23" s="34">
        <v>0</v>
      </c>
      <c r="AO23" s="129">
        <v>17604.403492149144</v>
      </c>
      <c r="AP23" s="148">
        <v>17604.403492149144</v>
      </c>
      <c r="AQ23" s="34">
        <v>0</v>
      </c>
      <c r="AR23" s="34">
        <v>0</v>
      </c>
      <c r="AS23" s="129">
        <v>17604.403492149144</v>
      </c>
    </row>
    <row r="24" spans="2:45" x14ac:dyDescent="0.35">
      <c r="B24" s="26">
        <v>2030</v>
      </c>
      <c r="C24" s="177">
        <v>284.14981944616545</v>
      </c>
      <c r="D24" s="84">
        <v>0</v>
      </c>
      <c r="E24" s="84">
        <v>0</v>
      </c>
      <c r="F24" s="84">
        <v>996.63079163297505</v>
      </c>
      <c r="G24" s="84">
        <v>0</v>
      </c>
      <c r="H24" s="177">
        <v>284.14981944616545</v>
      </c>
      <c r="I24" s="84">
        <v>0</v>
      </c>
      <c r="J24" s="308">
        <v>0</v>
      </c>
      <c r="K24" s="84">
        <v>996.63079163297505</v>
      </c>
      <c r="L24" s="86">
        <v>0</v>
      </c>
      <c r="M24" s="84">
        <v>284.14981944616545</v>
      </c>
      <c r="N24" s="84">
        <v>0</v>
      </c>
      <c r="O24" s="84">
        <v>0</v>
      </c>
      <c r="P24" s="84">
        <v>996.63079163297505</v>
      </c>
      <c r="Q24" s="86">
        <v>0</v>
      </c>
      <c r="S24" s="26">
        <v>2030</v>
      </c>
      <c r="T24" s="178">
        <v>32476279.534409337</v>
      </c>
      <c r="U24" s="35">
        <v>0</v>
      </c>
      <c r="V24" s="35">
        <v>0</v>
      </c>
      <c r="W24" s="130">
        <v>32476279.534409337</v>
      </c>
      <c r="X24" s="179">
        <v>32476279.534409337</v>
      </c>
      <c r="Y24" s="35">
        <v>0</v>
      </c>
      <c r="Z24" s="35">
        <v>0</v>
      </c>
      <c r="AA24" s="130">
        <v>32476279.534409337</v>
      </c>
      <c r="AB24" s="179">
        <v>32476279.534409337</v>
      </c>
      <c r="AC24" s="35">
        <v>0</v>
      </c>
      <c r="AD24" s="35">
        <v>0</v>
      </c>
      <c r="AE24" s="130">
        <v>32476279.534409337</v>
      </c>
      <c r="AG24" s="26">
        <v>2030</v>
      </c>
      <c r="AH24" s="178">
        <v>17653.989744732193</v>
      </c>
      <c r="AI24" s="35">
        <v>0</v>
      </c>
      <c r="AJ24" s="35">
        <v>0</v>
      </c>
      <c r="AK24" s="130">
        <v>17653.989744732193</v>
      </c>
      <c r="AL24" s="179">
        <v>17653.989744732193</v>
      </c>
      <c r="AM24" s="35">
        <v>0</v>
      </c>
      <c r="AN24" s="35">
        <v>0</v>
      </c>
      <c r="AO24" s="130">
        <v>17653.989744732193</v>
      </c>
      <c r="AP24" s="179">
        <v>17653.989744732193</v>
      </c>
      <c r="AQ24" s="35">
        <v>0</v>
      </c>
      <c r="AR24" s="35">
        <v>0</v>
      </c>
      <c r="AS24" s="130">
        <v>17653.989744732193</v>
      </c>
    </row>
    <row r="25" spans="2:45" x14ac:dyDescent="0.35">
      <c r="J25" s="190"/>
    </row>
    <row r="26" spans="2:45" x14ac:dyDescent="0.35">
      <c r="B26" s="477" t="s">
        <v>351</v>
      </c>
      <c r="C26" s="478"/>
      <c r="D26" s="478"/>
      <c r="E26" s="478"/>
      <c r="F26" s="478"/>
      <c r="G26" s="478"/>
      <c r="H26" s="478"/>
      <c r="I26" s="478"/>
      <c r="J26" s="480"/>
      <c r="K26" s="478"/>
      <c r="L26" s="478"/>
      <c r="M26" s="478"/>
      <c r="N26" s="478"/>
      <c r="O26" s="478"/>
      <c r="P26" s="478"/>
      <c r="Q26" s="479"/>
      <c r="S26" s="477" t="s">
        <v>351</v>
      </c>
      <c r="T26" s="478"/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9"/>
      <c r="AG26" s="477" t="s">
        <v>351</v>
      </c>
      <c r="AH26" s="478"/>
      <c r="AI26" s="478"/>
      <c r="AJ26" s="478"/>
      <c r="AK26" s="478"/>
      <c r="AL26" s="478"/>
      <c r="AM26" s="478"/>
      <c r="AN26" s="478"/>
      <c r="AO26" s="478"/>
      <c r="AP26" s="478"/>
      <c r="AQ26" s="478"/>
      <c r="AR26" s="478"/>
      <c r="AS26" s="479"/>
    </row>
    <row r="27" spans="2:45" x14ac:dyDescent="0.35">
      <c r="B27" s="173"/>
      <c r="C27" s="473" t="s">
        <v>271</v>
      </c>
      <c r="D27" s="474"/>
      <c r="E27" s="474"/>
      <c r="F27" s="474"/>
      <c r="G27" s="474"/>
      <c r="H27" s="473" t="s">
        <v>356</v>
      </c>
      <c r="I27" s="474"/>
      <c r="J27" s="475"/>
      <c r="K27" s="474"/>
      <c r="L27" s="476"/>
      <c r="M27" s="474" t="s">
        <v>273</v>
      </c>
      <c r="N27" s="474"/>
      <c r="O27" s="474"/>
      <c r="P27" s="474"/>
      <c r="Q27" s="476"/>
      <c r="S27" s="173"/>
      <c r="T27" s="474" t="s">
        <v>271</v>
      </c>
      <c r="U27" s="474"/>
      <c r="V27" s="474"/>
      <c r="W27" s="474"/>
      <c r="X27" s="473" t="s">
        <v>356</v>
      </c>
      <c r="Y27" s="474"/>
      <c r="Z27" s="474"/>
      <c r="AA27" s="476"/>
      <c r="AB27" s="474" t="s">
        <v>273</v>
      </c>
      <c r="AC27" s="474"/>
      <c r="AD27" s="474"/>
      <c r="AE27" s="476"/>
      <c r="AG27" s="173"/>
      <c r="AH27" s="474" t="s">
        <v>271</v>
      </c>
      <c r="AI27" s="474"/>
      <c r="AJ27" s="474"/>
      <c r="AK27" s="474"/>
      <c r="AL27" s="473" t="s">
        <v>356</v>
      </c>
      <c r="AM27" s="474"/>
      <c r="AN27" s="474"/>
      <c r="AO27" s="476"/>
      <c r="AP27" s="474" t="s">
        <v>273</v>
      </c>
      <c r="AQ27" s="474"/>
      <c r="AR27" s="474"/>
      <c r="AS27" s="476"/>
    </row>
    <row r="28" spans="2:45" ht="52.5" thickBot="1" x14ac:dyDescent="0.4">
      <c r="B28" s="169"/>
      <c r="C28" s="169" t="s">
        <v>425</v>
      </c>
      <c r="D28" s="171" t="s">
        <v>20</v>
      </c>
      <c r="E28" s="171" t="s">
        <v>357</v>
      </c>
      <c r="F28" s="171" t="s">
        <v>348</v>
      </c>
      <c r="G28" s="171" t="s">
        <v>349</v>
      </c>
      <c r="H28" s="169" t="s">
        <v>425</v>
      </c>
      <c r="I28" s="171" t="s">
        <v>20</v>
      </c>
      <c r="J28" s="171" t="s">
        <v>357</v>
      </c>
      <c r="K28" s="171" t="s">
        <v>348</v>
      </c>
      <c r="L28" s="172" t="s">
        <v>349</v>
      </c>
      <c r="M28" s="169" t="s">
        <v>425</v>
      </c>
      <c r="N28" s="171" t="s">
        <v>20</v>
      </c>
      <c r="O28" s="171" t="s">
        <v>357</v>
      </c>
      <c r="P28" s="171" t="s">
        <v>348</v>
      </c>
      <c r="Q28" s="172" t="s">
        <v>349</v>
      </c>
      <c r="S28" s="180"/>
      <c r="T28" s="171" t="s">
        <v>367</v>
      </c>
      <c r="U28" s="171" t="s">
        <v>368</v>
      </c>
      <c r="V28" s="171" t="s">
        <v>369</v>
      </c>
      <c r="W28" s="172" t="s">
        <v>366</v>
      </c>
      <c r="X28" s="170" t="s">
        <v>367</v>
      </c>
      <c r="Y28" s="171" t="s">
        <v>368</v>
      </c>
      <c r="Z28" s="171" t="s">
        <v>369</v>
      </c>
      <c r="AA28" s="172" t="s">
        <v>366</v>
      </c>
      <c r="AB28" s="170" t="s">
        <v>367</v>
      </c>
      <c r="AC28" s="171" t="s">
        <v>368</v>
      </c>
      <c r="AD28" s="171" t="s">
        <v>369</v>
      </c>
      <c r="AE28" s="172" t="s">
        <v>366</v>
      </c>
      <c r="AG28" s="180"/>
      <c r="AH28" s="171" t="s">
        <v>367</v>
      </c>
      <c r="AI28" s="171" t="s">
        <v>368</v>
      </c>
      <c r="AJ28" s="171" t="s">
        <v>369</v>
      </c>
      <c r="AK28" s="172" t="s">
        <v>366</v>
      </c>
      <c r="AL28" s="170" t="s">
        <v>367</v>
      </c>
      <c r="AM28" s="171" t="s">
        <v>368</v>
      </c>
      <c r="AN28" s="171" t="s">
        <v>369</v>
      </c>
      <c r="AO28" s="172" t="s">
        <v>366</v>
      </c>
      <c r="AP28" s="170" t="s">
        <v>367</v>
      </c>
      <c r="AQ28" s="171" t="s">
        <v>368</v>
      </c>
      <c r="AR28" s="171" t="s">
        <v>369</v>
      </c>
      <c r="AS28" s="172" t="s">
        <v>366</v>
      </c>
    </row>
    <row r="29" spans="2:45" x14ac:dyDescent="0.35">
      <c r="B29" s="25">
        <v>2015</v>
      </c>
      <c r="C29" s="149">
        <v>137.59396913152196</v>
      </c>
      <c r="D29" s="83">
        <v>0</v>
      </c>
      <c r="E29" s="83">
        <v>2.4828138586706974</v>
      </c>
      <c r="F29" s="83">
        <v>506.56634289154363</v>
      </c>
      <c r="G29" s="83">
        <v>97.003539999999987</v>
      </c>
      <c r="H29" s="149">
        <v>137.59396913152196</v>
      </c>
      <c r="I29" s="83">
        <v>0</v>
      </c>
      <c r="J29" s="307">
        <v>2.4828138586706974</v>
      </c>
      <c r="K29" s="83">
        <v>506.56634289154363</v>
      </c>
      <c r="L29" s="85">
        <v>97.003539999999987</v>
      </c>
      <c r="M29" s="83">
        <v>137.59396913152196</v>
      </c>
      <c r="N29" s="83">
        <v>5.3342447029875145E-2</v>
      </c>
      <c r="O29" s="83">
        <v>2.5223941827051544</v>
      </c>
      <c r="P29" s="83">
        <v>506.56634289154363</v>
      </c>
      <c r="Q29" s="85">
        <v>97.003539999999987</v>
      </c>
      <c r="S29" s="181">
        <v>2015</v>
      </c>
      <c r="T29" s="34">
        <v>14748059.417778328</v>
      </c>
      <c r="U29" s="34">
        <v>0</v>
      </c>
      <c r="V29" s="34">
        <v>0</v>
      </c>
      <c r="W29" s="129">
        <v>14748059.417778328</v>
      </c>
      <c r="X29" s="148">
        <v>14748059.417778328</v>
      </c>
      <c r="Y29" s="34">
        <v>0</v>
      </c>
      <c r="Z29" s="34">
        <v>0</v>
      </c>
      <c r="AA29" s="129">
        <v>14748059.417778328</v>
      </c>
      <c r="AB29" s="148">
        <v>14748059.417778328</v>
      </c>
      <c r="AC29" s="34">
        <v>1572.7999999999997</v>
      </c>
      <c r="AD29" s="34">
        <v>0</v>
      </c>
      <c r="AE29" s="129">
        <v>14749632.217778329</v>
      </c>
      <c r="AG29" s="181">
        <v>2015</v>
      </c>
      <c r="AH29" s="34">
        <v>8016.9925080334488</v>
      </c>
      <c r="AI29" s="34">
        <v>0</v>
      </c>
      <c r="AJ29" s="34">
        <v>0</v>
      </c>
      <c r="AK29" s="129">
        <v>8016.9925080334488</v>
      </c>
      <c r="AL29" s="148">
        <v>8016.9925080334488</v>
      </c>
      <c r="AM29" s="34">
        <v>0</v>
      </c>
      <c r="AN29" s="34">
        <v>0</v>
      </c>
      <c r="AO29" s="129">
        <v>8016.9925080334488</v>
      </c>
      <c r="AP29" s="148">
        <v>8016.9925080334488</v>
      </c>
      <c r="AQ29" s="34">
        <v>2.0913288937278104E-2</v>
      </c>
      <c r="AR29" s="34">
        <v>0</v>
      </c>
      <c r="AS29" s="129">
        <v>8017.0134213223864</v>
      </c>
    </row>
    <row r="30" spans="2:45" x14ac:dyDescent="0.35">
      <c r="B30" s="25">
        <v>2016</v>
      </c>
      <c r="C30" s="149">
        <v>178.98250934786873</v>
      </c>
      <c r="D30" s="83">
        <v>0</v>
      </c>
      <c r="E30" s="83">
        <v>17.377055890278655</v>
      </c>
      <c r="F30" s="83">
        <v>579.70239486493267</v>
      </c>
      <c r="G30" s="83">
        <v>0</v>
      </c>
      <c r="H30" s="149">
        <v>178.98250934786873</v>
      </c>
      <c r="I30" s="83">
        <v>0</v>
      </c>
      <c r="J30" s="307">
        <v>17.377055890278655</v>
      </c>
      <c r="K30" s="83">
        <v>579.70239486493267</v>
      </c>
      <c r="L30" s="85">
        <v>0</v>
      </c>
      <c r="M30" s="83">
        <v>178.98250934786873</v>
      </c>
      <c r="N30" s="83">
        <v>0</v>
      </c>
      <c r="O30" s="83">
        <v>17.944373868105878</v>
      </c>
      <c r="P30" s="83">
        <v>579.70239486493267</v>
      </c>
      <c r="Q30" s="85">
        <v>0</v>
      </c>
      <c r="S30" s="181">
        <v>2016</v>
      </c>
      <c r="T30" s="34">
        <v>19307915.165203109</v>
      </c>
      <c r="U30" s="34">
        <v>0</v>
      </c>
      <c r="V30" s="34">
        <v>0</v>
      </c>
      <c r="W30" s="129">
        <v>19307915.165203109</v>
      </c>
      <c r="X30" s="148">
        <v>19307915.165203109</v>
      </c>
      <c r="Y30" s="34">
        <v>0</v>
      </c>
      <c r="Z30" s="34">
        <v>0</v>
      </c>
      <c r="AA30" s="129">
        <v>19307915.165203109</v>
      </c>
      <c r="AB30" s="148">
        <v>19307915.165203109</v>
      </c>
      <c r="AC30" s="34">
        <v>1572.7999999999997</v>
      </c>
      <c r="AD30" s="34">
        <v>0</v>
      </c>
      <c r="AE30" s="129">
        <v>19309487.96520311</v>
      </c>
      <c r="AG30" s="181">
        <v>2016</v>
      </c>
      <c r="AH30" s="34">
        <v>10495.713831921674</v>
      </c>
      <c r="AI30" s="34">
        <v>0</v>
      </c>
      <c r="AJ30" s="34">
        <v>0</v>
      </c>
      <c r="AK30" s="129">
        <v>10495.713831921674</v>
      </c>
      <c r="AL30" s="148">
        <v>10495.713831921674</v>
      </c>
      <c r="AM30" s="34">
        <v>0</v>
      </c>
      <c r="AN30" s="34">
        <v>0</v>
      </c>
      <c r="AO30" s="129">
        <v>10495.713831921674</v>
      </c>
      <c r="AP30" s="148">
        <v>10495.713831921674</v>
      </c>
      <c r="AQ30" s="34">
        <v>2.0913288937278104E-2</v>
      </c>
      <c r="AR30" s="34">
        <v>0</v>
      </c>
      <c r="AS30" s="129">
        <v>10495.734745210611</v>
      </c>
    </row>
    <row r="31" spans="2:45" x14ac:dyDescent="0.35">
      <c r="B31" s="25">
        <v>2017</v>
      </c>
      <c r="C31" s="149">
        <v>214.12493968163085</v>
      </c>
      <c r="D31" s="83">
        <v>0</v>
      </c>
      <c r="E31" s="83">
        <v>26.037302452602074</v>
      </c>
      <c r="F31" s="83">
        <v>650.65893492244231</v>
      </c>
      <c r="G31" s="83">
        <v>0</v>
      </c>
      <c r="H31" s="149">
        <v>214.12493968163085</v>
      </c>
      <c r="I31" s="83">
        <v>0</v>
      </c>
      <c r="J31" s="307">
        <v>26.037302452602074</v>
      </c>
      <c r="K31" s="83">
        <v>650.65893492244231</v>
      </c>
      <c r="L31" s="85">
        <v>0</v>
      </c>
      <c r="M31" s="83">
        <v>214.12493968163085</v>
      </c>
      <c r="N31" s="83">
        <v>0</v>
      </c>
      <c r="O31" s="83">
        <v>27.132358084222055</v>
      </c>
      <c r="P31" s="83">
        <v>650.65893492244231</v>
      </c>
      <c r="Q31" s="85">
        <v>0</v>
      </c>
      <c r="S31" s="181">
        <v>2017</v>
      </c>
      <c r="T31" s="34">
        <v>23158718.860387787</v>
      </c>
      <c r="U31" s="34">
        <v>0</v>
      </c>
      <c r="V31" s="34">
        <v>0</v>
      </c>
      <c r="W31" s="129">
        <v>23158718.860387787</v>
      </c>
      <c r="X31" s="148">
        <v>23158718.860387787</v>
      </c>
      <c r="Y31" s="34">
        <v>0</v>
      </c>
      <c r="Z31" s="34">
        <v>0</v>
      </c>
      <c r="AA31" s="129">
        <v>23158718.860387787</v>
      </c>
      <c r="AB31" s="148">
        <v>23158718.860387787</v>
      </c>
      <c r="AC31" s="34">
        <v>1572.7999999999997</v>
      </c>
      <c r="AD31" s="34">
        <v>0</v>
      </c>
      <c r="AE31" s="129">
        <v>23160291.660387788</v>
      </c>
      <c r="AG31" s="181">
        <v>2017</v>
      </c>
      <c r="AH31" s="34">
        <v>12588.996988686558</v>
      </c>
      <c r="AI31" s="34">
        <v>0</v>
      </c>
      <c r="AJ31" s="34">
        <v>0</v>
      </c>
      <c r="AK31" s="129">
        <v>12588.996988686558</v>
      </c>
      <c r="AL31" s="148">
        <v>12588.996988686558</v>
      </c>
      <c r="AM31" s="34">
        <v>0</v>
      </c>
      <c r="AN31" s="34">
        <v>0</v>
      </c>
      <c r="AO31" s="129">
        <v>12588.996988686558</v>
      </c>
      <c r="AP31" s="148">
        <v>12588.996988686558</v>
      </c>
      <c r="AQ31" s="34">
        <v>2.0913288937278104E-2</v>
      </c>
      <c r="AR31" s="34">
        <v>0</v>
      </c>
      <c r="AS31" s="129">
        <v>12589.017901975496</v>
      </c>
    </row>
    <row r="32" spans="2:45" x14ac:dyDescent="0.35">
      <c r="B32" s="25">
        <v>2018</v>
      </c>
      <c r="C32" s="149">
        <v>245.70120814380834</v>
      </c>
      <c r="D32" s="83">
        <v>0</v>
      </c>
      <c r="E32" s="83">
        <v>34.77844164671346</v>
      </c>
      <c r="F32" s="83">
        <v>714.18419669052332</v>
      </c>
      <c r="G32" s="83">
        <v>0</v>
      </c>
      <c r="H32" s="149">
        <v>245.70120814380834</v>
      </c>
      <c r="I32" s="83">
        <v>0</v>
      </c>
      <c r="J32" s="83">
        <v>34.77844164671346</v>
      </c>
      <c r="K32" s="83">
        <v>714.18419669052332</v>
      </c>
      <c r="L32" s="85">
        <v>0</v>
      </c>
      <c r="M32" s="83">
        <v>245.70120814380834</v>
      </c>
      <c r="N32" s="83">
        <v>0</v>
      </c>
      <c r="O32" s="83">
        <v>36.401234932126208</v>
      </c>
      <c r="P32" s="83">
        <v>714.18419669052332</v>
      </c>
      <c r="Q32" s="85">
        <v>0</v>
      </c>
      <c r="S32" s="181">
        <v>2018</v>
      </c>
      <c r="T32" s="34">
        <v>26774935.019651815</v>
      </c>
      <c r="U32" s="34">
        <v>0</v>
      </c>
      <c r="V32" s="34">
        <v>0</v>
      </c>
      <c r="W32" s="129">
        <v>26774935.019651815</v>
      </c>
      <c r="X32" s="148">
        <v>26774935.019651815</v>
      </c>
      <c r="Y32" s="34">
        <v>0</v>
      </c>
      <c r="Z32" s="34">
        <v>0</v>
      </c>
      <c r="AA32" s="129">
        <v>26774935.019651815</v>
      </c>
      <c r="AB32" s="148">
        <v>26774935.019651815</v>
      </c>
      <c r="AC32" s="34">
        <v>1572.7999999999997</v>
      </c>
      <c r="AD32" s="34">
        <v>0</v>
      </c>
      <c r="AE32" s="129">
        <v>26776507.819651816</v>
      </c>
      <c r="AG32" s="181">
        <v>2018</v>
      </c>
      <c r="AH32" s="34">
        <v>14554.759197462396</v>
      </c>
      <c r="AI32" s="34">
        <v>0</v>
      </c>
      <c r="AJ32" s="34">
        <v>0</v>
      </c>
      <c r="AK32" s="129">
        <v>14554.759197462396</v>
      </c>
      <c r="AL32" s="148">
        <v>14554.759197462396</v>
      </c>
      <c r="AM32" s="34">
        <v>0</v>
      </c>
      <c r="AN32" s="34">
        <v>0</v>
      </c>
      <c r="AO32" s="129">
        <v>14554.759197462396</v>
      </c>
      <c r="AP32" s="148">
        <v>14554.759197462396</v>
      </c>
      <c r="AQ32" s="34">
        <v>2.0913288937278104E-2</v>
      </c>
      <c r="AR32" s="34">
        <v>0</v>
      </c>
      <c r="AS32" s="129">
        <v>14554.780110751333</v>
      </c>
    </row>
    <row r="33" spans="2:45" x14ac:dyDescent="0.35">
      <c r="B33" s="25">
        <v>2019</v>
      </c>
      <c r="C33" s="149">
        <v>276.60939981847474</v>
      </c>
      <c r="D33" s="83">
        <v>0</v>
      </c>
      <c r="E33" s="83">
        <v>43.600473472612833</v>
      </c>
      <c r="F33" s="83">
        <v>769.66986592833086</v>
      </c>
      <c r="G33" s="83">
        <v>0</v>
      </c>
      <c r="H33" s="149">
        <v>276.60939981847474</v>
      </c>
      <c r="I33" s="83">
        <v>0</v>
      </c>
      <c r="J33" s="83">
        <v>43.600473472612833</v>
      </c>
      <c r="K33" s="83">
        <v>769.66986592833086</v>
      </c>
      <c r="L33" s="85">
        <v>0</v>
      </c>
      <c r="M33" s="83">
        <v>276.60939981847474</v>
      </c>
      <c r="N33" s="83">
        <v>0</v>
      </c>
      <c r="O33" s="83">
        <v>45.751004411818336</v>
      </c>
      <c r="P33" s="83">
        <v>769.66986592833086</v>
      </c>
      <c r="Q33" s="85">
        <v>0</v>
      </c>
      <c r="S33" s="181">
        <v>2019</v>
      </c>
      <c r="T33" s="34">
        <v>30396762.582542703</v>
      </c>
      <c r="U33" s="34">
        <v>0</v>
      </c>
      <c r="V33" s="34">
        <v>0</v>
      </c>
      <c r="W33" s="129">
        <v>30396762.582542703</v>
      </c>
      <c r="X33" s="148">
        <v>30396762.582542703</v>
      </c>
      <c r="Y33" s="34">
        <v>0</v>
      </c>
      <c r="Z33" s="34">
        <v>0</v>
      </c>
      <c r="AA33" s="129">
        <v>30396762.582542703</v>
      </c>
      <c r="AB33" s="148">
        <v>30396762.582542703</v>
      </c>
      <c r="AC33" s="34">
        <v>1572.7999999999997</v>
      </c>
      <c r="AD33" s="34">
        <v>0</v>
      </c>
      <c r="AE33" s="129">
        <v>30398335.382542703</v>
      </c>
      <c r="AG33" s="181">
        <v>2019</v>
      </c>
      <c r="AH33" s="34">
        <v>16523.571745239566</v>
      </c>
      <c r="AI33" s="34">
        <v>0</v>
      </c>
      <c r="AJ33" s="34">
        <v>0</v>
      </c>
      <c r="AK33" s="129">
        <v>16523.571745239566</v>
      </c>
      <c r="AL33" s="148">
        <v>16523.571745239566</v>
      </c>
      <c r="AM33" s="34">
        <v>0</v>
      </c>
      <c r="AN33" s="34">
        <v>0</v>
      </c>
      <c r="AO33" s="129">
        <v>16523.571745239566</v>
      </c>
      <c r="AP33" s="148">
        <v>16523.571745239566</v>
      </c>
      <c r="AQ33" s="34">
        <v>2.0913288937278104E-2</v>
      </c>
      <c r="AR33" s="34">
        <v>0</v>
      </c>
      <c r="AS33" s="129">
        <v>16523.592658528501</v>
      </c>
    </row>
    <row r="34" spans="2:45" x14ac:dyDescent="0.35">
      <c r="B34" s="25">
        <v>2020</v>
      </c>
      <c r="C34" s="149">
        <v>308.41130228773204</v>
      </c>
      <c r="D34" s="83">
        <v>0</v>
      </c>
      <c r="E34" s="83">
        <v>52.503397930300167</v>
      </c>
      <c r="F34" s="83">
        <v>820.86807454247037</v>
      </c>
      <c r="G34" s="83">
        <v>0</v>
      </c>
      <c r="H34" s="149">
        <v>308.41130228773204</v>
      </c>
      <c r="I34" s="83">
        <v>0</v>
      </c>
      <c r="J34" s="83">
        <v>52.503397930300167</v>
      </c>
      <c r="K34" s="83">
        <v>820.86807454247037</v>
      </c>
      <c r="L34" s="85">
        <v>0</v>
      </c>
      <c r="M34" s="83">
        <v>308.41130228773204</v>
      </c>
      <c r="N34" s="83">
        <v>0</v>
      </c>
      <c r="O34" s="83">
        <v>55.181666523298432</v>
      </c>
      <c r="P34" s="83">
        <v>820.86807454247037</v>
      </c>
      <c r="Q34" s="85">
        <v>0</v>
      </c>
      <c r="S34" s="181">
        <v>2020</v>
      </c>
      <c r="T34" s="34">
        <v>34099856.575886071</v>
      </c>
      <c r="U34" s="34">
        <v>0</v>
      </c>
      <c r="V34" s="34">
        <v>0</v>
      </c>
      <c r="W34" s="129">
        <v>34099856.575886071</v>
      </c>
      <c r="X34" s="148">
        <v>34099856.575886071</v>
      </c>
      <c r="Y34" s="34">
        <v>0</v>
      </c>
      <c r="Z34" s="34">
        <v>0</v>
      </c>
      <c r="AA34" s="129">
        <v>34099856.575886071</v>
      </c>
      <c r="AB34" s="148">
        <v>34099856.575886071</v>
      </c>
      <c r="AC34" s="34">
        <v>1572.7999999999997</v>
      </c>
      <c r="AD34" s="34">
        <v>0</v>
      </c>
      <c r="AE34" s="129">
        <v>34101429.375886068</v>
      </c>
      <c r="AG34" s="181">
        <v>2020</v>
      </c>
      <c r="AH34" s="34">
        <v>18536.560434815216</v>
      </c>
      <c r="AI34" s="34">
        <v>0</v>
      </c>
      <c r="AJ34" s="34">
        <v>0</v>
      </c>
      <c r="AK34" s="129">
        <v>18536.560434815216</v>
      </c>
      <c r="AL34" s="148">
        <v>18536.560434815216</v>
      </c>
      <c r="AM34" s="34">
        <v>0</v>
      </c>
      <c r="AN34" s="34">
        <v>0</v>
      </c>
      <c r="AO34" s="129">
        <v>18536.560434815216</v>
      </c>
      <c r="AP34" s="148">
        <v>18536.560434815216</v>
      </c>
      <c r="AQ34" s="34">
        <v>2.0913288937278104E-2</v>
      </c>
      <c r="AR34" s="34">
        <v>0</v>
      </c>
      <c r="AS34" s="129">
        <v>18536.581348104151</v>
      </c>
    </row>
    <row r="35" spans="2:45" x14ac:dyDescent="0.35">
      <c r="B35" s="25">
        <v>2021</v>
      </c>
      <c r="C35" s="149">
        <v>334.92457133374</v>
      </c>
      <c r="D35" s="83">
        <v>0</v>
      </c>
      <c r="E35" s="83">
        <v>57.852320252670893</v>
      </c>
      <c r="F35" s="83">
        <v>869.07403191821254</v>
      </c>
      <c r="G35" s="83">
        <v>0</v>
      </c>
      <c r="H35" s="149">
        <v>334.92457133374</v>
      </c>
      <c r="I35" s="83">
        <v>0</v>
      </c>
      <c r="J35" s="83">
        <v>77.406468960802982</v>
      </c>
      <c r="K35" s="83">
        <v>869.07403191821254</v>
      </c>
      <c r="L35" s="85">
        <v>0</v>
      </c>
      <c r="M35" s="83">
        <v>334.92457133374</v>
      </c>
      <c r="N35" s="83">
        <v>2.1573004645279457</v>
      </c>
      <c r="O35" s="83">
        <v>120.14399407377977</v>
      </c>
      <c r="P35" s="83">
        <v>869.07403191821254</v>
      </c>
      <c r="Q35" s="85">
        <v>0</v>
      </c>
      <c r="S35" s="181">
        <v>2021</v>
      </c>
      <c r="T35" s="34">
        <v>37202991.43522945</v>
      </c>
      <c r="U35" s="34">
        <v>0</v>
      </c>
      <c r="V35" s="34">
        <v>0</v>
      </c>
      <c r="W35" s="129">
        <v>37202991.43522945</v>
      </c>
      <c r="X35" s="148">
        <v>37202991.43522945</v>
      </c>
      <c r="Y35" s="34">
        <v>0</v>
      </c>
      <c r="Z35" s="34">
        <v>0</v>
      </c>
      <c r="AA35" s="129">
        <v>37202991.43522945</v>
      </c>
      <c r="AB35" s="148">
        <v>37202991.43522945</v>
      </c>
      <c r="AC35" s="34">
        <v>29733.499999999993</v>
      </c>
      <c r="AD35" s="34">
        <v>112642.80000000002</v>
      </c>
      <c r="AE35" s="129">
        <v>37345367.735229447</v>
      </c>
      <c r="AG35" s="181">
        <v>2021</v>
      </c>
      <c r="AH35" s="34">
        <v>20223.413478598311</v>
      </c>
      <c r="AI35" s="34">
        <v>0</v>
      </c>
      <c r="AJ35" s="34">
        <v>0</v>
      </c>
      <c r="AK35" s="129">
        <v>20223.413478598311</v>
      </c>
      <c r="AL35" s="148">
        <v>20223.413478598311</v>
      </c>
      <c r="AM35" s="34">
        <v>0</v>
      </c>
      <c r="AN35" s="34">
        <v>0</v>
      </c>
      <c r="AO35" s="129">
        <v>20223.413478598311</v>
      </c>
      <c r="AP35" s="148">
        <v>20223.413478598311</v>
      </c>
      <c r="AQ35" s="34">
        <v>0.39536195105325439</v>
      </c>
      <c r="AR35" s="34">
        <v>186.88707974643424</v>
      </c>
      <c r="AS35" s="129">
        <v>20410.695920295799</v>
      </c>
    </row>
    <row r="36" spans="2:45" x14ac:dyDescent="0.35">
      <c r="B36" s="25">
        <v>2022</v>
      </c>
      <c r="C36" s="149">
        <v>358.56506012801765</v>
      </c>
      <c r="D36" s="83">
        <v>0</v>
      </c>
      <c r="E36" s="83">
        <v>63.201242575041618</v>
      </c>
      <c r="F36" s="83">
        <v>914.59782634165924</v>
      </c>
      <c r="G36" s="83">
        <v>0</v>
      </c>
      <c r="H36" s="149">
        <v>358.56506012801765</v>
      </c>
      <c r="I36" s="83">
        <v>0</v>
      </c>
      <c r="J36" s="83">
        <v>101.78814580717329</v>
      </c>
      <c r="K36" s="83">
        <v>914.59782634165924</v>
      </c>
      <c r="L36" s="85">
        <v>0</v>
      </c>
      <c r="M36" s="83">
        <v>358.56506012801765</v>
      </c>
      <c r="N36" s="83">
        <v>2.2289209361889943</v>
      </c>
      <c r="O36" s="83">
        <v>184.3687881831157</v>
      </c>
      <c r="P36" s="83">
        <v>914.59782634165924</v>
      </c>
      <c r="Q36" s="85">
        <v>0</v>
      </c>
      <c r="S36" s="181">
        <v>2022</v>
      </c>
      <c r="T36" s="34">
        <v>40304741.314849824</v>
      </c>
      <c r="U36" s="34">
        <v>0</v>
      </c>
      <c r="V36" s="34">
        <v>0</v>
      </c>
      <c r="W36" s="129">
        <v>40304741.314849824</v>
      </c>
      <c r="X36" s="148">
        <v>40304741.314849824</v>
      </c>
      <c r="Y36" s="34">
        <v>0</v>
      </c>
      <c r="Z36" s="34">
        <v>0</v>
      </c>
      <c r="AA36" s="129">
        <v>40304741.314849824</v>
      </c>
      <c r="AB36" s="148">
        <v>40304741.314849824</v>
      </c>
      <c r="AC36" s="34">
        <v>57894.199999999983</v>
      </c>
      <c r="AD36" s="34">
        <v>225285.60000000003</v>
      </c>
      <c r="AE36" s="129">
        <v>40587921.114849828</v>
      </c>
      <c r="AG36" s="181">
        <v>2022</v>
      </c>
      <c r="AH36" s="34">
        <v>21909.513652342808</v>
      </c>
      <c r="AI36" s="34">
        <v>0</v>
      </c>
      <c r="AJ36" s="34">
        <v>0</v>
      </c>
      <c r="AK36" s="129">
        <v>21909.513652342808</v>
      </c>
      <c r="AL36" s="148">
        <v>21909.513652342808</v>
      </c>
      <c r="AM36" s="34">
        <v>0</v>
      </c>
      <c r="AN36" s="34">
        <v>0</v>
      </c>
      <c r="AO36" s="129">
        <v>21909.513652342808</v>
      </c>
      <c r="AP36" s="148">
        <v>21909.513652342808</v>
      </c>
      <c r="AQ36" s="34">
        <v>0.76981061316923061</v>
      </c>
      <c r="AR36" s="34">
        <v>373.77415949286848</v>
      </c>
      <c r="AS36" s="129">
        <v>22284.057622448847</v>
      </c>
    </row>
    <row r="37" spans="2:45" x14ac:dyDescent="0.35">
      <c r="B37" s="25">
        <v>2023</v>
      </c>
      <c r="C37" s="149">
        <v>376.06410531864424</v>
      </c>
      <c r="D37" s="83">
        <v>0</v>
      </c>
      <c r="E37" s="83">
        <v>68.550164897412358</v>
      </c>
      <c r="F37" s="83">
        <v>957.31887247311624</v>
      </c>
      <c r="G37" s="83">
        <v>0</v>
      </c>
      <c r="H37" s="149">
        <v>376.06410531864424</v>
      </c>
      <c r="I37" s="83">
        <v>0</v>
      </c>
      <c r="J37" s="83">
        <v>125.64842846941107</v>
      </c>
      <c r="K37" s="83">
        <v>957.31887247311624</v>
      </c>
      <c r="L37" s="85">
        <v>0</v>
      </c>
      <c r="M37" s="83">
        <v>376.06410531864424</v>
      </c>
      <c r="N37" s="83">
        <v>2.3005414078500435</v>
      </c>
      <c r="O37" s="83">
        <v>247.85604885130618</v>
      </c>
      <c r="P37" s="83">
        <v>957.31887247311624</v>
      </c>
      <c r="Q37" s="85">
        <v>0</v>
      </c>
      <c r="S37" s="181">
        <v>2023</v>
      </c>
      <c r="T37" s="34">
        <v>42647260.704365462</v>
      </c>
      <c r="U37" s="34">
        <v>0</v>
      </c>
      <c r="V37" s="34">
        <v>0</v>
      </c>
      <c r="W37" s="129">
        <v>42647260.704365462</v>
      </c>
      <c r="X37" s="148">
        <v>42647260.704365462</v>
      </c>
      <c r="Y37" s="34">
        <v>0</v>
      </c>
      <c r="Z37" s="34">
        <v>0</v>
      </c>
      <c r="AA37" s="129">
        <v>42647260.704365462</v>
      </c>
      <c r="AB37" s="148">
        <v>42647260.704365462</v>
      </c>
      <c r="AC37" s="34">
        <v>86054.89999999998</v>
      </c>
      <c r="AD37" s="34">
        <v>337928.4</v>
      </c>
      <c r="AE37" s="129">
        <v>43071244.004365459</v>
      </c>
      <c r="AG37" s="181">
        <v>2023</v>
      </c>
      <c r="AH37" s="34">
        <v>23182.898839076686</v>
      </c>
      <c r="AI37" s="34">
        <v>0</v>
      </c>
      <c r="AJ37" s="34">
        <v>0</v>
      </c>
      <c r="AK37" s="129">
        <v>23182.898839076686</v>
      </c>
      <c r="AL37" s="148">
        <v>23182.898839076686</v>
      </c>
      <c r="AM37" s="34">
        <v>0</v>
      </c>
      <c r="AN37" s="34">
        <v>0</v>
      </c>
      <c r="AO37" s="129">
        <v>23182.898839076686</v>
      </c>
      <c r="AP37" s="148">
        <v>23182.898839076686</v>
      </c>
      <c r="AQ37" s="34">
        <v>1.144259275285207</v>
      </c>
      <c r="AR37" s="34">
        <v>560.66123923930274</v>
      </c>
      <c r="AS37" s="129">
        <v>23744.704337591276</v>
      </c>
    </row>
    <row r="38" spans="2:45" x14ac:dyDescent="0.35">
      <c r="B38" s="25">
        <v>2024</v>
      </c>
      <c r="C38" s="149">
        <v>396.43120882909466</v>
      </c>
      <c r="D38" s="83">
        <v>0</v>
      </c>
      <c r="E38" s="83">
        <v>73.899087219783098</v>
      </c>
      <c r="F38" s="83">
        <v>996.46776975883404</v>
      </c>
      <c r="G38" s="83">
        <v>0</v>
      </c>
      <c r="H38" s="149">
        <v>396.43120882909466</v>
      </c>
      <c r="I38" s="83">
        <v>0</v>
      </c>
      <c r="J38" s="83">
        <v>148.98731694751632</v>
      </c>
      <c r="K38" s="83">
        <v>996.46776975883404</v>
      </c>
      <c r="L38" s="85">
        <v>0</v>
      </c>
      <c r="M38" s="83">
        <v>396.43120882909466</v>
      </c>
      <c r="N38" s="83">
        <v>2.3721618795110926</v>
      </c>
      <c r="O38" s="83">
        <v>310.60577607835125</v>
      </c>
      <c r="P38" s="83">
        <v>996.46776975883404</v>
      </c>
      <c r="Q38" s="85">
        <v>0</v>
      </c>
      <c r="S38" s="181">
        <v>2024</v>
      </c>
      <c r="T38" s="34">
        <v>45190576.364933565</v>
      </c>
      <c r="U38" s="34">
        <v>0</v>
      </c>
      <c r="V38" s="34">
        <v>0</v>
      </c>
      <c r="W38" s="129">
        <v>45190576.364933565</v>
      </c>
      <c r="X38" s="148">
        <v>45190576.364933565</v>
      </c>
      <c r="Y38" s="34">
        <v>0</v>
      </c>
      <c r="Z38" s="34">
        <v>0</v>
      </c>
      <c r="AA38" s="129">
        <v>45190576.364933565</v>
      </c>
      <c r="AB38" s="148">
        <v>45190576.364933565</v>
      </c>
      <c r="AC38" s="34">
        <v>114215.59999999998</v>
      </c>
      <c r="AD38" s="34">
        <v>450571.20000000007</v>
      </c>
      <c r="AE38" s="129">
        <v>45755363.16493357</v>
      </c>
      <c r="AG38" s="181">
        <v>2024</v>
      </c>
      <c r="AH38" s="34">
        <v>24565.436162716658</v>
      </c>
      <c r="AI38" s="34">
        <v>0</v>
      </c>
      <c r="AJ38" s="34">
        <v>0</v>
      </c>
      <c r="AK38" s="129">
        <v>24565.436162716658</v>
      </c>
      <c r="AL38" s="148">
        <v>24565.436162716658</v>
      </c>
      <c r="AM38" s="34">
        <v>0</v>
      </c>
      <c r="AN38" s="34">
        <v>0</v>
      </c>
      <c r="AO38" s="129">
        <v>24565.436162716658</v>
      </c>
      <c r="AP38" s="148">
        <v>24565.436162716658</v>
      </c>
      <c r="AQ38" s="34">
        <v>1.5187079374011834</v>
      </c>
      <c r="AR38" s="34">
        <v>747.54831898573696</v>
      </c>
      <c r="AS38" s="129">
        <v>25314.503189639796</v>
      </c>
    </row>
    <row r="39" spans="2:45" x14ac:dyDescent="0.35">
      <c r="B39" s="25">
        <v>2025</v>
      </c>
      <c r="C39" s="149">
        <v>416.29833553275068</v>
      </c>
      <c r="D39" s="83">
        <v>0</v>
      </c>
      <c r="E39" s="83">
        <v>79.248009542153824</v>
      </c>
      <c r="F39" s="83">
        <v>1031.4920261822479</v>
      </c>
      <c r="G39" s="83">
        <v>97.003539999999987</v>
      </c>
      <c r="H39" s="149">
        <v>416.29833553275068</v>
      </c>
      <c r="I39" s="83">
        <v>0</v>
      </c>
      <c r="J39" s="83">
        <v>171.80481124148906</v>
      </c>
      <c r="K39" s="83">
        <v>1031.4920261822479</v>
      </c>
      <c r="L39" s="85">
        <v>97.003539999999987</v>
      </c>
      <c r="M39" s="83">
        <v>416.29833553275068</v>
      </c>
      <c r="N39" s="83">
        <v>2.4437823511721413</v>
      </c>
      <c r="O39" s="83">
        <v>372.61796986425088</v>
      </c>
      <c r="P39" s="83">
        <v>1031.4920261822479</v>
      </c>
      <c r="Q39" s="85">
        <v>97.003539999999987</v>
      </c>
      <c r="S39" s="181">
        <v>2025</v>
      </c>
      <c r="T39" s="34">
        <v>47621467.130335927</v>
      </c>
      <c r="U39" s="34">
        <v>0</v>
      </c>
      <c r="V39" s="34">
        <v>0</v>
      </c>
      <c r="W39" s="129">
        <v>47621467.130335927</v>
      </c>
      <c r="X39" s="148">
        <v>47621467.130335927</v>
      </c>
      <c r="Y39" s="34">
        <v>0</v>
      </c>
      <c r="Z39" s="34">
        <v>0</v>
      </c>
      <c r="AA39" s="129">
        <v>47621467.130335927</v>
      </c>
      <c r="AB39" s="148">
        <v>47621467.130335927</v>
      </c>
      <c r="AC39" s="34">
        <v>142376.29999999996</v>
      </c>
      <c r="AD39" s="34">
        <v>563214.00000000012</v>
      </c>
      <c r="AE39" s="129">
        <v>48327057.430335924</v>
      </c>
      <c r="AG39" s="181">
        <v>2025</v>
      </c>
      <c r="AH39" s="34">
        <v>25886.859714250888</v>
      </c>
      <c r="AI39" s="34">
        <v>0</v>
      </c>
      <c r="AJ39" s="34">
        <v>0</v>
      </c>
      <c r="AK39" s="129">
        <v>25886.859714250888</v>
      </c>
      <c r="AL39" s="148">
        <v>25886.859714250888</v>
      </c>
      <c r="AM39" s="34">
        <v>0</v>
      </c>
      <c r="AN39" s="34">
        <v>0</v>
      </c>
      <c r="AO39" s="129">
        <v>25886.859714250888</v>
      </c>
      <c r="AP39" s="148">
        <v>25886.859714250888</v>
      </c>
      <c r="AQ39" s="34">
        <v>1.8931565995171598</v>
      </c>
      <c r="AR39" s="34">
        <v>934.43539873217117</v>
      </c>
      <c r="AS39" s="129">
        <v>26823.188269582573</v>
      </c>
    </row>
    <row r="40" spans="2:45" x14ac:dyDescent="0.35">
      <c r="B40" s="25">
        <v>2026</v>
      </c>
      <c r="C40" s="149">
        <v>435.39608562997785</v>
      </c>
      <c r="D40" s="83">
        <v>0</v>
      </c>
      <c r="E40" s="83">
        <v>84.596931864524578</v>
      </c>
      <c r="F40" s="83">
        <v>1063.9776628284449</v>
      </c>
      <c r="G40" s="83">
        <v>0</v>
      </c>
      <c r="H40" s="149">
        <v>435.39608562997785</v>
      </c>
      <c r="I40" s="83">
        <v>0</v>
      </c>
      <c r="J40" s="83">
        <v>194.10091135132924</v>
      </c>
      <c r="K40" s="83">
        <v>1063.9776628284449</v>
      </c>
      <c r="L40" s="85">
        <v>0</v>
      </c>
      <c r="M40" s="83">
        <v>435.39608562997785</v>
      </c>
      <c r="N40" s="83">
        <v>2.5154028228331904</v>
      </c>
      <c r="O40" s="83">
        <v>433.89263020900518</v>
      </c>
      <c r="P40" s="83">
        <v>1063.9776628284449</v>
      </c>
      <c r="Q40" s="85">
        <v>0</v>
      </c>
      <c r="S40" s="181">
        <v>2026</v>
      </c>
      <c r="T40" s="34">
        <v>50005211.154476285</v>
      </c>
      <c r="U40" s="34">
        <v>0</v>
      </c>
      <c r="V40" s="34">
        <v>0</v>
      </c>
      <c r="W40" s="129">
        <v>50005211.154476285</v>
      </c>
      <c r="X40" s="148">
        <v>50005211.154476285</v>
      </c>
      <c r="Y40" s="34">
        <v>0</v>
      </c>
      <c r="Z40" s="34">
        <v>0</v>
      </c>
      <c r="AA40" s="129">
        <v>50005211.154476285</v>
      </c>
      <c r="AB40" s="148">
        <v>50005211.154476285</v>
      </c>
      <c r="AC40" s="34">
        <v>170536.99999999994</v>
      </c>
      <c r="AD40" s="34">
        <v>675856.80000000016</v>
      </c>
      <c r="AE40" s="129">
        <v>50851604.954476282</v>
      </c>
      <c r="AG40" s="181">
        <v>2026</v>
      </c>
      <c r="AH40" s="34">
        <v>27182.654465360021</v>
      </c>
      <c r="AI40" s="34">
        <v>0</v>
      </c>
      <c r="AJ40" s="34">
        <v>0</v>
      </c>
      <c r="AK40" s="129">
        <v>27182.654465360021</v>
      </c>
      <c r="AL40" s="148">
        <v>27182.654465360021</v>
      </c>
      <c r="AM40" s="34">
        <v>0</v>
      </c>
      <c r="AN40" s="34">
        <v>0</v>
      </c>
      <c r="AO40" s="129">
        <v>27182.654465360021</v>
      </c>
      <c r="AP40" s="148">
        <v>27182.654465360021</v>
      </c>
      <c r="AQ40" s="34">
        <v>2.2676052616331361</v>
      </c>
      <c r="AR40" s="34">
        <v>1121.3224784786055</v>
      </c>
      <c r="AS40" s="129">
        <v>28306.244549100262</v>
      </c>
    </row>
    <row r="41" spans="2:45" x14ac:dyDescent="0.35">
      <c r="B41" s="25">
        <v>2027</v>
      </c>
      <c r="C41" s="149">
        <v>453.92400148253785</v>
      </c>
      <c r="D41" s="83">
        <v>0</v>
      </c>
      <c r="E41" s="83">
        <v>89.945854186895303</v>
      </c>
      <c r="F41" s="83">
        <v>1095.6589563061075</v>
      </c>
      <c r="G41" s="83">
        <v>0</v>
      </c>
      <c r="H41" s="149">
        <v>453.92400148253785</v>
      </c>
      <c r="I41" s="83">
        <v>0</v>
      </c>
      <c r="J41" s="83">
        <v>215.87561727703695</v>
      </c>
      <c r="K41" s="83">
        <v>1095.6589563061075</v>
      </c>
      <c r="L41" s="85">
        <v>0</v>
      </c>
      <c r="M41" s="83">
        <v>453.92400148253785</v>
      </c>
      <c r="N41" s="83">
        <v>2.5870232944942386</v>
      </c>
      <c r="O41" s="83">
        <v>494.42975711261386</v>
      </c>
      <c r="P41" s="83">
        <v>1095.6589563061075</v>
      </c>
      <c r="Q41" s="85">
        <v>0</v>
      </c>
      <c r="S41" s="181">
        <v>2027</v>
      </c>
      <c r="T41" s="34">
        <v>52068131.976736657</v>
      </c>
      <c r="U41" s="34">
        <v>0</v>
      </c>
      <c r="V41" s="34">
        <v>0</v>
      </c>
      <c r="W41" s="129">
        <v>52068131.976736657</v>
      </c>
      <c r="X41" s="148">
        <v>52068131.976736657</v>
      </c>
      <c r="Y41" s="34">
        <v>0</v>
      </c>
      <c r="Z41" s="34">
        <v>0</v>
      </c>
      <c r="AA41" s="129">
        <v>52068131.976736657</v>
      </c>
      <c r="AB41" s="148">
        <v>52068131.976736657</v>
      </c>
      <c r="AC41" s="34">
        <v>198697.69999999992</v>
      </c>
      <c r="AD41" s="34">
        <v>788499.60000000021</v>
      </c>
      <c r="AE41" s="129">
        <v>53055329.276736662</v>
      </c>
      <c r="AG41" s="181">
        <v>2027</v>
      </c>
      <c r="AH41" s="34">
        <v>28304.050867980357</v>
      </c>
      <c r="AI41" s="34">
        <v>0</v>
      </c>
      <c r="AJ41" s="34">
        <v>0</v>
      </c>
      <c r="AK41" s="129">
        <v>28304.050867980357</v>
      </c>
      <c r="AL41" s="148">
        <v>28304.050867980357</v>
      </c>
      <c r="AM41" s="34">
        <v>0</v>
      </c>
      <c r="AN41" s="34">
        <v>0</v>
      </c>
      <c r="AO41" s="129">
        <v>28304.050867980357</v>
      </c>
      <c r="AP41" s="148">
        <v>28304.050867980357</v>
      </c>
      <c r="AQ41" s="34">
        <v>2.6420539237491125</v>
      </c>
      <c r="AR41" s="34">
        <v>1308.2095582250397</v>
      </c>
      <c r="AS41" s="129">
        <v>29614.902480129145</v>
      </c>
    </row>
    <row r="42" spans="2:45" x14ac:dyDescent="0.35">
      <c r="B42" s="25">
        <v>2028</v>
      </c>
      <c r="C42" s="149">
        <v>471.72277130741145</v>
      </c>
      <c r="D42" s="83">
        <v>0</v>
      </c>
      <c r="E42" s="83">
        <v>95.294776509266043</v>
      </c>
      <c r="F42" s="83">
        <v>1120.7748389329322</v>
      </c>
      <c r="G42" s="83">
        <v>0</v>
      </c>
      <c r="H42" s="149">
        <v>471.72277130741145</v>
      </c>
      <c r="I42" s="83">
        <v>0</v>
      </c>
      <c r="J42" s="83">
        <v>237.1289290186121</v>
      </c>
      <c r="K42" s="83">
        <v>1120.7748389329322</v>
      </c>
      <c r="L42" s="85">
        <v>0</v>
      </c>
      <c r="M42" s="83">
        <v>471.72277130741145</v>
      </c>
      <c r="N42" s="83">
        <v>2.6586437661552877</v>
      </c>
      <c r="O42" s="83">
        <v>554.22935057507721</v>
      </c>
      <c r="P42" s="83">
        <v>1120.7748389329322</v>
      </c>
      <c r="Q42" s="85">
        <v>0</v>
      </c>
      <c r="S42" s="181">
        <v>2028</v>
      </c>
      <c r="T42" s="34">
        <v>54172924.278859869</v>
      </c>
      <c r="U42" s="34">
        <v>0</v>
      </c>
      <c r="V42" s="34">
        <v>0</v>
      </c>
      <c r="W42" s="129">
        <v>54172924.278859869</v>
      </c>
      <c r="X42" s="148">
        <v>54172924.278859869</v>
      </c>
      <c r="Y42" s="34">
        <v>0</v>
      </c>
      <c r="Z42" s="34">
        <v>0</v>
      </c>
      <c r="AA42" s="129">
        <v>54172924.278859869</v>
      </c>
      <c r="AB42" s="148">
        <v>54172924.278859869</v>
      </c>
      <c r="AC42" s="34">
        <v>226858.39999999991</v>
      </c>
      <c r="AD42" s="34">
        <v>901142.40000000026</v>
      </c>
      <c r="AE42" s="129">
        <v>55300925.078859866</v>
      </c>
      <c r="AG42" s="181">
        <v>2028</v>
      </c>
      <c r="AH42" s="34">
        <v>29448.208457740751</v>
      </c>
      <c r="AI42" s="34">
        <v>0</v>
      </c>
      <c r="AJ42" s="34">
        <v>0</v>
      </c>
      <c r="AK42" s="129">
        <v>29448.208457740751</v>
      </c>
      <c r="AL42" s="148">
        <v>29448.208457740751</v>
      </c>
      <c r="AM42" s="34">
        <v>0</v>
      </c>
      <c r="AN42" s="34">
        <v>0</v>
      </c>
      <c r="AO42" s="129">
        <v>29448.208457740751</v>
      </c>
      <c r="AP42" s="148">
        <v>29448.208457740751</v>
      </c>
      <c r="AQ42" s="34">
        <v>3.0165025858650889</v>
      </c>
      <c r="AR42" s="34">
        <v>1495.0966379714739</v>
      </c>
      <c r="AS42" s="129">
        <v>30946.321598298091</v>
      </c>
    </row>
    <row r="43" spans="2:45" x14ac:dyDescent="0.35">
      <c r="B43" s="25">
        <v>2029</v>
      </c>
      <c r="C43" s="149">
        <v>488.97832583960559</v>
      </c>
      <c r="D43" s="83">
        <v>0</v>
      </c>
      <c r="E43" s="83">
        <v>100.64369883163677</v>
      </c>
      <c r="F43" s="83">
        <v>1145.8391388744885</v>
      </c>
      <c r="G43" s="83">
        <v>0</v>
      </c>
      <c r="H43" s="149">
        <v>488.97832583960559</v>
      </c>
      <c r="I43" s="83">
        <v>0</v>
      </c>
      <c r="J43" s="83">
        <v>257.86084657605471</v>
      </c>
      <c r="K43" s="83">
        <v>1145.8391388744885</v>
      </c>
      <c r="L43" s="85">
        <v>0</v>
      </c>
      <c r="M43" s="83">
        <v>488.97832583960559</v>
      </c>
      <c r="N43" s="83">
        <v>2.7302642378163364</v>
      </c>
      <c r="O43" s="83">
        <v>613.29141059639517</v>
      </c>
      <c r="P43" s="83">
        <v>1145.8391388744885</v>
      </c>
      <c r="Q43" s="85">
        <v>0</v>
      </c>
      <c r="S43" s="181">
        <v>2029</v>
      </c>
      <c r="T43" s="34">
        <v>56021177.312916353</v>
      </c>
      <c r="U43" s="34">
        <v>0</v>
      </c>
      <c r="V43" s="34">
        <v>0</v>
      </c>
      <c r="W43" s="129">
        <v>56021177.312916353</v>
      </c>
      <c r="X43" s="148">
        <v>56021177.312916353</v>
      </c>
      <c r="Y43" s="34">
        <v>0</v>
      </c>
      <c r="Z43" s="34">
        <v>0</v>
      </c>
      <c r="AA43" s="129">
        <v>56021177.312916353</v>
      </c>
      <c r="AB43" s="148">
        <v>56021177.312916353</v>
      </c>
      <c r="AC43" s="34">
        <v>255019.09999999989</v>
      </c>
      <c r="AD43" s="34">
        <v>1013785.2000000003</v>
      </c>
      <c r="AE43" s="129">
        <v>57289981.612916358</v>
      </c>
      <c r="AG43" s="181">
        <v>2029</v>
      </c>
      <c r="AH43" s="34">
        <v>30452.912216197197</v>
      </c>
      <c r="AI43" s="34">
        <v>0</v>
      </c>
      <c r="AJ43" s="34">
        <v>0</v>
      </c>
      <c r="AK43" s="129">
        <v>30452.912216197197</v>
      </c>
      <c r="AL43" s="148">
        <v>30452.912216197197</v>
      </c>
      <c r="AM43" s="34">
        <v>0</v>
      </c>
      <c r="AN43" s="34">
        <v>0</v>
      </c>
      <c r="AO43" s="129">
        <v>30452.912216197197</v>
      </c>
      <c r="AP43" s="148">
        <v>30452.912216197197</v>
      </c>
      <c r="AQ43" s="34">
        <v>3.3909512479810653</v>
      </c>
      <c r="AR43" s="34">
        <v>1681.9837177179081</v>
      </c>
      <c r="AS43" s="129">
        <v>32138.286885163085</v>
      </c>
    </row>
    <row r="44" spans="2:45" x14ac:dyDescent="0.35">
      <c r="B44" s="26">
        <v>2030</v>
      </c>
      <c r="C44" s="177">
        <v>505.70253232383402</v>
      </c>
      <c r="D44" s="84">
        <v>0</v>
      </c>
      <c r="E44" s="84">
        <v>105.99262115400748</v>
      </c>
      <c r="F44" s="84">
        <v>1171.828130607023</v>
      </c>
      <c r="G44" s="84">
        <v>0</v>
      </c>
      <c r="H44" s="177">
        <v>505.70253232383402</v>
      </c>
      <c r="I44" s="84">
        <v>0</v>
      </c>
      <c r="J44" s="84">
        <v>278.07136994936479</v>
      </c>
      <c r="K44" s="84">
        <v>1171.828130607023</v>
      </c>
      <c r="L44" s="86">
        <v>0</v>
      </c>
      <c r="M44" s="84">
        <v>505.70253232383402</v>
      </c>
      <c r="N44" s="84">
        <v>2.8018847094773873</v>
      </c>
      <c r="O44" s="84">
        <v>671.61593717656751</v>
      </c>
      <c r="P44" s="84">
        <v>1171.828130607023</v>
      </c>
      <c r="Q44" s="86">
        <v>0</v>
      </c>
      <c r="S44" s="182">
        <v>2030</v>
      </c>
      <c r="T44" s="35">
        <v>57798160.255804941</v>
      </c>
      <c r="U44" s="35">
        <v>0</v>
      </c>
      <c r="V44" s="35">
        <v>0</v>
      </c>
      <c r="W44" s="130">
        <v>57798160.255804941</v>
      </c>
      <c r="X44" s="179">
        <v>57798160.255804941</v>
      </c>
      <c r="Y44" s="35">
        <v>0</v>
      </c>
      <c r="Z44" s="35">
        <v>0</v>
      </c>
      <c r="AA44" s="130">
        <v>57798160.255804941</v>
      </c>
      <c r="AB44" s="179">
        <v>57798160.255804941</v>
      </c>
      <c r="AC44" s="35">
        <v>283179.79999999993</v>
      </c>
      <c r="AD44" s="35">
        <v>1126428.0000000002</v>
      </c>
      <c r="AE44" s="130">
        <v>59207768.055804938</v>
      </c>
      <c r="AG44" s="182">
        <v>2030</v>
      </c>
      <c r="AH44" s="35">
        <v>31418.873807243388</v>
      </c>
      <c r="AI44" s="35">
        <v>0</v>
      </c>
      <c r="AJ44" s="35">
        <v>0</v>
      </c>
      <c r="AK44" s="130">
        <v>31418.873807243388</v>
      </c>
      <c r="AL44" s="179">
        <v>31418.873807243388</v>
      </c>
      <c r="AM44" s="35">
        <v>0</v>
      </c>
      <c r="AN44" s="35">
        <v>0</v>
      </c>
      <c r="AO44" s="130">
        <v>31418.873807243388</v>
      </c>
      <c r="AP44" s="179">
        <v>31418.873807243388</v>
      </c>
      <c r="AQ44" s="35">
        <v>3.7653999100970412</v>
      </c>
      <c r="AR44" s="35">
        <v>1868.8707974643423</v>
      </c>
      <c r="AS44" s="130">
        <v>33291.510004617827</v>
      </c>
    </row>
    <row r="46" spans="2:45" x14ac:dyDescent="0.35">
      <c r="B46" s="118" t="s">
        <v>358</v>
      </c>
      <c r="C46" s="118" t="s">
        <v>359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AC46" s="183"/>
      <c r="AQ46" s="183"/>
    </row>
    <row r="47" spans="2:45" x14ac:dyDescent="0.35">
      <c r="B47" s="118"/>
      <c r="C47" s="118" t="s">
        <v>360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</row>
    <row r="48" spans="2:45" x14ac:dyDescent="0.35">
      <c r="C48" s="118" t="s">
        <v>361</v>
      </c>
      <c r="D48" s="118"/>
    </row>
  </sheetData>
  <mergeCells count="24">
    <mergeCell ref="S26:AE26"/>
    <mergeCell ref="AG26:AS26"/>
    <mergeCell ref="T27:W27"/>
    <mergeCell ref="X27:AA27"/>
    <mergeCell ref="AB27:AE27"/>
    <mergeCell ref="AH27:AK27"/>
    <mergeCell ref="AL27:AO27"/>
    <mergeCell ref="AP27:AS27"/>
    <mergeCell ref="S6:AE6"/>
    <mergeCell ref="AG6:AS6"/>
    <mergeCell ref="T7:W7"/>
    <mergeCell ref="X7:AA7"/>
    <mergeCell ref="AB7:AE7"/>
    <mergeCell ref="AH7:AK7"/>
    <mergeCell ref="AL7:AO7"/>
    <mergeCell ref="AP7:AS7"/>
    <mergeCell ref="C27:G27"/>
    <mergeCell ref="H27:L27"/>
    <mergeCell ref="M27:Q27"/>
    <mergeCell ref="C7:G7"/>
    <mergeCell ref="B6:Q6"/>
    <mergeCell ref="B26:Q26"/>
    <mergeCell ref="H7:L7"/>
    <mergeCell ref="M7:Q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0" tint="-0.14999847407452621"/>
  </sheetPr>
  <dimension ref="A1:AF192"/>
  <sheetViews>
    <sheetView showGridLines="0" topLeftCell="A82" zoomScale="85" zoomScaleNormal="85" workbookViewId="0">
      <selection activeCell="N11" sqref="N11"/>
    </sheetView>
  </sheetViews>
  <sheetFormatPr defaultRowHeight="17.25" x14ac:dyDescent="0.35"/>
  <cols>
    <col min="1" max="1" width="32" bestFit="1" customWidth="1"/>
    <col min="2" max="2" width="10.5" bestFit="1" customWidth="1"/>
    <col min="3" max="3" width="9.625" bestFit="1" customWidth="1"/>
    <col min="4" max="22" width="10.5" bestFit="1" customWidth="1"/>
    <col min="23" max="23" width="9.625" bestFit="1" customWidth="1"/>
    <col min="24" max="30" width="10.5" bestFit="1" customWidth="1"/>
    <col min="31" max="31" width="9.625" bestFit="1" customWidth="1"/>
    <col min="32" max="32" width="20.25" bestFit="1" customWidth="1"/>
  </cols>
  <sheetData>
    <row r="1" spans="1:32" ht="18" customHeight="1" x14ac:dyDescent="0.35">
      <c r="A1" s="482" t="s">
        <v>214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</row>
    <row r="2" spans="1:32" ht="18" customHeight="1" x14ac:dyDescent="0.35">
      <c r="A2" s="482" t="s">
        <v>213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</row>
    <row r="3" spans="1:32" x14ac:dyDescent="0.35">
      <c r="A3" s="483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</row>
    <row r="4" spans="1:32" s="94" customFormat="1" ht="34.5" x14ac:dyDescent="0.35">
      <c r="A4" s="96" t="s">
        <v>212</v>
      </c>
      <c r="B4" s="95">
        <v>2011</v>
      </c>
      <c r="C4" s="95">
        <v>2012</v>
      </c>
      <c r="D4" s="95">
        <v>2013</v>
      </c>
      <c r="E4" s="95">
        <v>2014</v>
      </c>
      <c r="F4" s="95">
        <v>2015</v>
      </c>
      <c r="G4" s="95">
        <v>2016</v>
      </c>
      <c r="H4" s="95">
        <v>2017</v>
      </c>
      <c r="I4" s="95">
        <v>2018</v>
      </c>
      <c r="J4" s="95">
        <v>2019</v>
      </c>
      <c r="K4" s="95">
        <v>2020</v>
      </c>
      <c r="L4" s="95">
        <v>2021</v>
      </c>
      <c r="M4" s="95">
        <v>2022</v>
      </c>
      <c r="N4" s="95">
        <v>2023</v>
      </c>
      <c r="O4" s="95">
        <v>2024</v>
      </c>
      <c r="P4" s="95">
        <v>2025</v>
      </c>
      <c r="Q4" s="95">
        <v>2026</v>
      </c>
      <c r="R4" s="95">
        <v>2027</v>
      </c>
      <c r="S4" s="95">
        <v>2028</v>
      </c>
      <c r="T4" s="95">
        <v>2029</v>
      </c>
      <c r="U4" s="95">
        <v>2030</v>
      </c>
      <c r="V4" s="95">
        <v>2031</v>
      </c>
      <c r="W4" s="95">
        <v>2032</v>
      </c>
      <c r="X4" s="95">
        <v>2033</v>
      </c>
      <c r="Y4" s="95">
        <v>2034</v>
      </c>
      <c r="Z4" s="95">
        <v>2035</v>
      </c>
      <c r="AA4" s="95">
        <v>2036</v>
      </c>
      <c r="AB4" s="95">
        <v>2037</v>
      </c>
      <c r="AC4" s="95">
        <v>2038</v>
      </c>
      <c r="AD4" s="95">
        <v>2039</v>
      </c>
      <c r="AE4" s="95">
        <v>2040</v>
      </c>
      <c r="AF4" s="95" t="s">
        <v>211</v>
      </c>
    </row>
    <row r="5" spans="1:32" x14ac:dyDescent="0.35">
      <c r="A5" s="90"/>
    </row>
    <row r="6" spans="1:32" x14ac:dyDescent="0.35">
      <c r="A6" s="91" t="s">
        <v>210</v>
      </c>
    </row>
    <row r="7" spans="1:32" x14ac:dyDescent="0.35">
      <c r="A7" s="90" t="s">
        <v>200</v>
      </c>
      <c r="B7" s="89">
        <v>3.4329999999999999E-2</v>
      </c>
      <c r="C7" s="89">
        <v>3.4390999999999998E-2</v>
      </c>
      <c r="D7" s="89">
        <v>3.4437000000000002E-2</v>
      </c>
      <c r="E7" s="89">
        <v>3.4854999999999997E-2</v>
      </c>
      <c r="F7" s="89">
        <v>3.4233E-2</v>
      </c>
      <c r="G7" s="89">
        <v>3.4341999999999998E-2</v>
      </c>
      <c r="H7" s="89">
        <v>3.4380000000000001E-2</v>
      </c>
      <c r="I7" s="89">
        <v>3.4386E-2</v>
      </c>
      <c r="J7" s="89">
        <v>3.4401000000000001E-2</v>
      </c>
      <c r="K7" s="89">
        <v>3.4429000000000001E-2</v>
      </c>
      <c r="L7" s="89">
        <v>3.4450000000000001E-2</v>
      </c>
      <c r="M7" s="89">
        <v>3.4467999999999999E-2</v>
      </c>
      <c r="N7" s="89">
        <v>3.4493000000000003E-2</v>
      </c>
      <c r="O7" s="89">
        <v>3.4522999999999998E-2</v>
      </c>
      <c r="P7" s="89">
        <v>3.4549999999999997E-2</v>
      </c>
      <c r="Q7" s="89">
        <v>3.4576000000000003E-2</v>
      </c>
      <c r="R7" s="89">
        <v>3.4602000000000001E-2</v>
      </c>
      <c r="S7" s="89">
        <v>3.4625999999999997E-2</v>
      </c>
      <c r="T7" s="89">
        <v>3.4653000000000003E-2</v>
      </c>
      <c r="U7" s="89">
        <v>3.4682999999999999E-2</v>
      </c>
      <c r="V7" s="89">
        <v>3.4713000000000001E-2</v>
      </c>
      <c r="W7" s="89">
        <v>3.4726E-2</v>
      </c>
      <c r="X7" s="89">
        <v>3.4736000000000003E-2</v>
      </c>
      <c r="Y7" s="89">
        <v>3.4736999999999997E-2</v>
      </c>
      <c r="Z7" s="89">
        <v>3.4747E-2</v>
      </c>
      <c r="AA7" s="89">
        <v>3.4755000000000001E-2</v>
      </c>
      <c r="AB7" s="89">
        <v>3.4771000000000003E-2</v>
      </c>
      <c r="AC7" s="89">
        <v>3.4793999999999999E-2</v>
      </c>
      <c r="AD7" s="89">
        <v>3.4812000000000003E-2</v>
      </c>
      <c r="AE7" s="89">
        <v>3.4833999999999997E-2</v>
      </c>
      <c r="AF7" s="88">
        <v>0</v>
      </c>
    </row>
    <row r="8" spans="1:32" x14ac:dyDescent="0.35">
      <c r="A8" s="90" t="s">
        <v>183</v>
      </c>
      <c r="B8" s="89">
        <v>3.9699999999999996E-3</v>
      </c>
      <c r="C8" s="89">
        <v>1.2279999999999999E-3</v>
      </c>
      <c r="D8" s="89">
        <v>1.194E-3</v>
      </c>
      <c r="E8" s="89">
        <v>1.2440000000000001E-3</v>
      </c>
      <c r="F8" s="89">
        <v>1.1039999999999999E-3</v>
      </c>
      <c r="G8" s="89">
        <v>1.0790000000000001E-3</v>
      </c>
      <c r="H8" s="89">
        <v>1.0709999999999999E-3</v>
      </c>
      <c r="I8" s="89">
        <v>1.075E-3</v>
      </c>
      <c r="J8" s="89">
        <v>1.0740000000000001E-3</v>
      </c>
      <c r="K8" s="89">
        <v>1.0709999999999999E-3</v>
      </c>
      <c r="L8" s="89">
        <v>1.067E-3</v>
      </c>
      <c r="M8" s="89">
        <v>1.062E-3</v>
      </c>
      <c r="N8" s="89">
        <v>1.057E-3</v>
      </c>
      <c r="O8" s="89">
        <v>1.0529999999999999E-3</v>
      </c>
      <c r="P8" s="89">
        <v>1.049E-3</v>
      </c>
      <c r="Q8" s="89">
        <v>1.047E-3</v>
      </c>
      <c r="R8" s="89">
        <v>1.044E-3</v>
      </c>
      <c r="S8" s="89">
        <v>1.041E-3</v>
      </c>
      <c r="T8" s="89">
        <v>1.0380000000000001E-3</v>
      </c>
      <c r="U8" s="89">
        <v>1.0349999999999999E-3</v>
      </c>
      <c r="V8" s="89">
        <v>1.031E-3</v>
      </c>
      <c r="W8" s="89">
        <v>1.026E-3</v>
      </c>
      <c r="X8" s="89">
        <v>1.021E-3</v>
      </c>
      <c r="Y8" s="89">
        <v>1.016E-3</v>
      </c>
      <c r="Z8" s="89">
        <v>1.011E-3</v>
      </c>
      <c r="AA8" s="89">
        <v>1.005E-3</v>
      </c>
      <c r="AB8" s="89">
        <v>1E-3</v>
      </c>
      <c r="AC8" s="89">
        <v>9.9500000000000001E-4</v>
      </c>
      <c r="AD8" s="89">
        <v>9.8799999999999995E-4</v>
      </c>
      <c r="AE8" s="89">
        <v>9.8200000000000002E-4</v>
      </c>
      <c r="AF8" s="88">
        <v>-8.0000000000000002E-3</v>
      </c>
    </row>
    <row r="9" spans="1:32" x14ac:dyDescent="0.35">
      <c r="A9" s="90" t="s">
        <v>182</v>
      </c>
      <c r="B9" s="89">
        <v>0.21657999999999999</v>
      </c>
      <c r="C9" s="89">
        <v>0.20872099999999999</v>
      </c>
      <c r="D9" s="89">
        <v>0.22174199999999999</v>
      </c>
      <c r="E9" s="89">
        <v>0.22323499999999999</v>
      </c>
      <c r="F9" s="89">
        <v>0.20865800000000001</v>
      </c>
      <c r="G9" s="89">
        <v>0.20579500000000001</v>
      </c>
      <c r="H9" s="89">
        <v>0.202517</v>
      </c>
      <c r="I9" s="89">
        <v>0.19877500000000001</v>
      </c>
      <c r="J9" s="89">
        <v>0.194684</v>
      </c>
      <c r="K9" s="89">
        <v>0.190523</v>
      </c>
      <c r="L9" s="89">
        <v>0.18646599999999999</v>
      </c>
      <c r="M9" s="89">
        <v>0.18257300000000001</v>
      </c>
      <c r="N9" s="89">
        <v>0.17891599999999999</v>
      </c>
      <c r="O9" s="89">
        <v>0.17549600000000001</v>
      </c>
      <c r="P9" s="89">
        <v>0.17213999999999999</v>
      </c>
      <c r="Q9" s="89">
        <v>0.16889599999999999</v>
      </c>
      <c r="R9" s="89">
        <v>0.16569400000000001</v>
      </c>
      <c r="S9" s="89">
        <v>0.16258600000000001</v>
      </c>
      <c r="T9" s="89">
        <v>0.159551</v>
      </c>
      <c r="U9" s="89">
        <v>0.15661800000000001</v>
      </c>
      <c r="V9" s="89">
        <v>0.15382799999999999</v>
      </c>
      <c r="W9" s="89">
        <v>0.15112</v>
      </c>
      <c r="X9" s="89">
        <v>0.14851800000000001</v>
      </c>
      <c r="Y9" s="89">
        <v>0.14602399999999999</v>
      </c>
      <c r="Z9" s="89">
        <v>0.14369599999999999</v>
      </c>
      <c r="AA9" s="89">
        <v>0.141455</v>
      </c>
      <c r="AB9" s="89">
        <v>0.139345</v>
      </c>
      <c r="AC9" s="89">
        <v>0.13733699999999999</v>
      </c>
      <c r="AD9" s="89">
        <v>0.13536500000000001</v>
      </c>
      <c r="AE9" s="89">
        <v>0.13349</v>
      </c>
      <c r="AF9" s="88">
        <v>-1.6E-2</v>
      </c>
    </row>
    <row r="10" spans="1:32" x14ac:dyDescent="0.35">
      <c r="A10" s="97" t="s">
        <v>178</v>
      </c>
      <c r="B10" s="89">
        <v>0.25488</v>
      </c>
      <c r="C10" s="89">
        <v>0.24434</v>
      </c>
      <c r="D10" s="89">
        <v>0.25737300000000002</v>
      </c>
      <c r="E10" s="89">
        <v>0.25933400000000001</v>
      </c>
      <c r="F10" s="89">
        <v>0.24399499999999999</v>
      </c>
      <c r="G10" s="89">
        <v>0.24121699999999999</v>
      </c>
      <c r="H10" s="89">
        <v>0.23796800000000001</v>
      </c>
      <c r="I10" s="89">
        <v>0.234235</v>
      </c>
      <c r="J10" s="89">
        <v>0.230159</v>
      </c>
      <c r="K10" s="89">
        <v>0.226024</v>
      </c>
      <c r="L10" s="89">
        <v>0.22198200000000001</v>
      </c>
      <c r="M10" s="89">
        <v>0.21810299999999999</v>
      </c>
      <c r="N10" s="89">
        <v>0.21446599999999999</v>
      </c>
      <c r="O10" s="89">
        <v>0.21107100000000001</v>
      </c>
      <c r="P10" s="89">
        <v>0.20773900000000001</v>
      </c>
      <c r="Q10" s="89">
        <v>0.20451900000000001</v>
      </c>
      <c r="R10" s="89">
        <v>0.20133899999999999</v>
      </c>
      <c r="S10" s="89">
        <v>0.19825300000000001</v>
      </c>
      <c r="T10" s="89">
        <v>0.195242</v>
      </c>
      <c r="U10" s="89">
        <v>0.19233600000000001</v>
      </c>
      <c r="V10" s="89">
        <v>0.18957199999999999</v>
      </c>
      <c r="W10" s="89">
        <v>0.18687200000000001</v>
      </c>
      <c r="X10" s="89">
        <v>0.18427499999999999</v>
      </c>
      <c r="Y10" s="89">
        <v>0.18177599999999999</v>
      </c>
      <c r="Z10" s="89">
        <v>0.179454</v>
      </c>
      <c r="AA10" s="89">
        <v>0.17721500000000001</v>
      </c>
      <c r="AB10" s="89">
        <v>0.17511599999999999</v>
      </c>
      <c r="AC10" s="89">
        <v>0.173125</v>
      </c>
      <c r="AD10" s="89">
        <v>0.17116500000000001</v>
      </c>
      <c r="AE10" s="89">
        <v>0.16930600000000001</v>
      </c>
      <c r="AF10" s="88">
        <v>-1.2999999999999999E-2</v>
      </c>
    </row>
    <row r="11" spans="1:32" x14ac:dyDescent="0.35">
      <c r="A11" s="90" t="s">
        <v>177</v>
      </c>
      <c r="B11" s="89">
        <v>0.20805999999999999</v>
      </c>
      <c r="C11" s="89">
        <v>0.18399599999999999</v>
      </c>
      <c r="D11" s="89">
        <v>0.224165</v>
      </c>
      <c r="E11" s="89">
        <v>0.23056499999999999</v>
      </c>
      <c r="F11" s="89">
        <v>0.22000700000000001</v>
      </c>
      <c r="G11" s="89">
        <v>0.221244</v>
      </c>
      <c r="H11" s="89">
        <v>0.22228800000000001</v>
      </c>
      <c r="I11" s="89">
        <v>0.222833</v>
      </c>
      <c r="J11" s="89">
        <v>0.223305</v>
      </c>
      <c r="K11" s="89">
        <v>0.22390399999999999</v>
      </c>
      <c r="L11" s="89">
        <v>0.22420000000000001</v>
      </c>
      <c r="M11" s="89">
        <v>0.22436600000000001</v>
      </c>
      <c r="N11" s="89">
        <v>0.224521</v>
      </c>
      <c r="O11" s="89">
        <v>0.22456300000000001</v>
      </c>
      <c r="P11" s="89">
        <v>0.224354</v>
      </c>
      <c r="Q11" s="89">
        <v>0.224104</v>
      </c>
      <c r="R11" s="89">
        <v>0.223769</v>
      </c>
      <c r="S11" s="89">
        <v>0.223357</v>
      </c>
      <c r="T11" s="89">
        <v>0.222797</v>
      </c>
      <c r="U11" s="89">
        <v>0.22218499999999999</v>
      </c>
      <c r="V11" s="89">
        <v>0.22190799999999999</v>
      </c>
      <c r="W11" s="89">
        <v>0.22203500000000001</v>
      </c>
      <c r="X11" s="89">
        <v>0.22209400000000001</v>
      </c>
      <c r="Y11" s="89">
        <v>0.22189600000000001</v>
      </c>
      <c r="Z11" s="89">
        <v>0.221468</v>
      </c>
      <c r="AA11" s="89">
        <v>0.220807</v>
      </c>
      <c r="AB11" s="89">
        <v>0.22017400000000001</v>
      </c>
      <c r="AC11" s="89">
        <v>0.21962400000000001</v>
      </c>
      <c r="AD11" s="89">
        <v>0.21882199999999999</v>
      </c>
      <c r="AE11" s="89">
        <v>0.21796399999999999</v>
      </c>
      <c r="AF11" s="88">
        <v>6.0000000000000001E-3</v>
      </c>
    </row>
    <row r="12" spans="1:32" x14ac:dyDescent="0.35">
      <c r="A12" s="90" t="s">
        <v>209</v>
      </c>
      <c r="B12" s="89">
        <v>4.6115999999999997E-2</v>
      </c>
      <c r="C12" s="89">
        <v>4.1409000000000001E-2</v>
      </c>
      <c r="D12" s="89">
        <v>5.1325999999999997E-2</v>
      </c>
      <c r="E12" s="89">
        <v>5.1470000000000002E-2</v>
      </c>
      <c r="F12" s="89">
        <v>4.675E-2</v>
      </c>
      <c r="G12" s="89">
        <v>4.5476999999999997E-2</v>
      </c>
      <c r="H12" s="89">
        <v>4.4587000000000002E-2</v>
      </c>
      <c r="I12" s="89">
        <v>4.4095000000000002E-2</v>
      </c>
      <c r="J12" s="89">
        <v>4.3943999999999997E-2</v>
      </c>
      <c r="K12" s="89">
        <v>4.3935000000000002E-2</v>
      </c>
      <c r="L12" s="89">
        <v>4.3944999999999998E-2</v>
      </c>
      <c r="M12" s="89">
        <v>4.3947E-2</v>
      </c>
      <c r="N12" s="89">
        <v>4.3928000000000002E-2</v>
      </c>
      <c r="O12" s="89">
        <v>4.3883999999999999E-2</v>
      </c>
      <c r="P12" s="89">
        <v>4.3809000000000001E-2</v>
      </c>
      <c r="Q12" s="89">
        <v>4.3673999999999998E-2</v>
      </c>
      <c r="R12" s="89">
        <v>4.3548000000000003E-2</v>
      </c>
      <c r="S12" s="89">
        <v>4.3373000000000002E-2</v>
      </c>
      <c r="T12" s="89">
        <v>4.3191E-2</v>
      </c>
      <c r="U12" s="89">
        <v>4.2977000000000001E-2</v>
      </c>
      <c r="V12" s="89">
        <v>4.2777999999999997E-2</v>
      </c>
      <c r="W12" s="89">
        <v>4.2585999999999999E-2</v>
      </c>
      <c r="X12" s="89">
        <v>4.2422000000000001E-2</v>
      </c>
      <c r="Y12" s="89">
        <v>4.2279999999999998E-2</v>
      </c>
      <c r="Z12" s="89">
        <v>4.2090000000000002E-2</v>
      </c>
      <c r="AA12" s="89">
        <v>4.1859E-2</v>
      </c>
      <c r="AB12" s="89">
        <v>4.163E-2</v>
      </c>
      <c r="AC12" s="89">
        <v>4.1406999999999999E-2</v>
      </c>
      <c r="AD12" s="89">
        <v>4.1207000000000001E-2</v>
      </c>
      <c r="AE12" s="89">
        <v>4.1049000000000002E-2</v>
      </c>
      <c r="AF12" s="88">
        <v>0</v>
      </c>
    </row>
    <row r="13" spans="1:32" x14ac:dyDescent="0.35">
      <c r="A13" s="90" t="s">
        <v>194</v>
      </c>
      <c r="B13" s="89">
        <v>0.16200000000000001</v>
      </c>
      <c r="C13" s="89">
        <v>0.15651100000000001</v>
      </c>
      <c r="D13" s="89">
        <v>0.159912</v>
      </c>
      <c r="E13" s="89">
        <v>0.15587500000000001</v>
      </c>
      <c r="F13" s="89">
        <v>0.15689400000000001</v>
      </c>
      <c r="G13" s="89">
        <v>0.157221</v>
      </c>
      <c r="H13" s="89">
        <v>0.15806000000000001</v>
      </c>
      <c r="I13" s="89">
        <v>0.15859300000000001</v>
      </c>
      <c r="J13" s="89">
        <v>0.15889600000000001</v>
      </c>
      <c r="K13" s="89">
        <v>0.156726</v>
      </c>
      <c r="L13" s="89">
        <v>0.15618199999999999</v>
      </c>
      <c r="M13" s="89">
        <v>0.156003</v>
      </c>
      <c r="N13" s="89">
        <v>0.15609999999999999</v>
      </c>
      <c r="O13" s="89">
        <v>0.156087</v>
      </c>
      <c r="P13" s="89">
        <v>0.15599399999999999</v>
      </c>
      <c r="Q13" s="89">
        <v>0.15600700000000001</v>
      </c>
      <c r="R13" s="89">
        <v>0.15595400000000001</v>
      </c>
      <c r="S13" s="89">
        <v>0.15595999999999999</v>
      </c>
      <c r="T13" s="89">
        <v>0.15608</v>
      </c>
      <c r="U13" s="89">
        <v>0.15569</v>
      </c>
      <c r="V13" s="89">
        <v>0.155503</v>
      </c>
      <c r="W13" s="89">
        <v>0.15559999999999999</v>
      </c>
      <c r="X13" s="89">
        <v>0.155941</v>
      </c>
      <c r="Y13" s="89">
        <v>0.156223</v>
      </c>
      <c r="Z13" s="89">
        <v>0.156472</v>
      </c>
      <c r="AA13" s="89">
        <v>0.15668199999999999</v>
      </c>
      <c r="AB13" s="89">
        <v>0.15684200000000001</v>
      </c>
      <c r="AC13" s="89">
        <v>0.15706200000000001</v>
      </c>
      <c r="AD13" s="89">
        <v>0.15714400000000001</v>
      </c>
      <c r="AE13" s="89">
        <v>0.157106</v>
      </c>
      <c r="AF13" s="88">
        <v>0</v>
      </c>
    </row>
    <row r="14" spans="1:32" x14ac:dyDescent="0.35">
      <c r="A14" s="91" t="s">
        <v>193</v>
      </c>
      <c r="B14" s="93">
        <v>0.67105599999999999</v>
      </c>
      <c r="C14" s="93">
        <v>0.62625600000000003</v>
      </c>
      <c r="D14" s="93">
        <v>0.69277599999999995</v>
      </c>
      <c r="E14" s="93">
        <v>0.69724399999999997</v>
      </c>
      <c r="F14" s="93">
        <v>0.66764599999999996</v>
      </c>
      <c r="G14" s="93">
        <v>0.66515800000000003</v>
      </c>
      <c r="H14" s="93">
        <v>0.66290199999999999</v>
      </c>
      <c r="I14" s="93">
        <v>0.65975499999999998</v>
      </c>
      <c r="J14" s="93">
        <v>0.656304</v>
      </c>
      <c r="K14" s="93">
        <v>0.65058800000000006</v>
      </c>
      <c r="L14" s="93">
        <v>0.64630900000000002</v>
      </c>
      <c r="M14" s="93">
        <v>0.64241899999999996</v>
      </c>
      <c r="N14" s="93">
        <v>0.63901399999999997</v>
      </c>
      <c r="O14" s="93">
        <v>0.63560499999999998</v>
      </c>
      <c r="P14" s="93">
        <v>0.63189700000000004</v>
      </c>
      <c r="Q14" s="93">
        <v>0.62830299999999994</v>
      </c>
      <c r="R14" s="93">
        <v>0.62461100000000003</v>
      </c>
      <c r="S14" s="93">
        <v>0.62094300000000002</v>
      </c>
      <c r="T14" s="93">
        <v>0.61731100000000005</v>
      </c>
      <c r="U14" s="93">
        <v>0.61318799999999996</v>
      </c>
      <c r="V14" s="93">
        <v>0.60976200000000003</v>
      </c>
      <c r="W14" s="93">
        <v>0.60709400000000002</v>
      </c>
      <c r="X14" s="93">
        <v>0.60473200000000005</v>
      </c>
      <c r="Y14" s="93">
        <v>0.60217399999999999</v>
      </c>
      <c r="Z14" s="93">
        <v>0.59948400000000002</v>
      </c>
      <c r="AA14" s="93">
        <v>0.59656299999999995</v>
      </c>
      <c r="AB14" s="93">
        <v>0.59376200000000001</v>
      </c>
      <c r="AC14" s="93">
        <v>0.59121900000000005</v>
      </c>
      <c r="AD14" s="93">
        <v>0.588337</v>
      </c>
      <c r="AE14" s="93">
        <v>0.585426</v>
      </c>
      <c r="AF14" s="92">
        <v>-2E-3</v>
      </c>
    </row>
    <row r="15" spans="1:32" x14ac:dyDescent="0.35">
      <c r="A15" s="90" t="s">
        <v>192</v>
      </c>
      <c r="B15" s="89">
        <v>0.298236</v>
      </c>
      <c r="C15" s="89">
        <v>0.277171</v>
      </c>
      <c r="D15" s="89">
        <v>0.27438299999999999</v>
      </c>
      <c r="E15" s="89">
        <v>0.273733</v>
      </c>
      <c r="F15" s="89">
        <v>0.267818</v>
      </c>
      <c r="G15" s="89">
        <v>0.272227</v>
      </c>
      <c r="H15" s="89">
        <v>0.27888099999999999</v>
      </c>
      <c r="I15" s="89">
        <v>0.282694</v>
      </c>
      <c r="J15" s="89">
        <v>0.28440799999999999</v>
      </c>
      <c r="K15" s="89">
        <v>0.27851799999999999</v>
      </c>
      <c r="L15" s="89">
        <v>0.27716099999999999</v>
      </c>
      <c r="M15" s="89">
        <v>0.271426</v>
      </c>
      <c r="N15" s="89">
        <v>0.26706000000000002</v>
      </c>
      <c r="O15" s="89">
        <v>0.26408100000000001</v>
      </c>
      <c r="P15" s="89">
        <v>0.26278600000000002</v>
      </c>
      <c r="Q15" s="89">
        <v>0.25736199999999998</v>
      </c>
      <c r="R15" s="89">
        <v>0.26006499999999999</v>
      </c>
      <c r="S15" s="89">
        <v>0.26457399999999998</v>
      </c>
      <c r="T15" s="89">
        <v>0.26028000000000001</v>
      </c>
      <c r="U15" s="89">
        <v>0.26094600000000001</v>
      </c>
      <c r="V15" s="89">
        <v>0.26230300000000001</v>
      </c>
      <c r="W15" s="89">
        <v>0.26166499999999998</v>
      </c>
      <c r="X15" s="89">
        <v>0.264683</v>
      </c>
      <c r="Y15" s="89">
        <v>0.26530900000000002</v>
      </c>
      <c r="Z15" s="89">
        <v>0.26194499999999998</v>
      </c>
      <c r="AA15" s="89">
        <v>0.26202300000000001</v>
      </c>
      <c r="AB15" s="89">
        <v>0.26156800000000002</v>
      </c>
      <c r="AC15" s="89">
        <v>0.25917800000000002</v>
      </c>
      <c r="AD15" s="89">
        <v>0.25663599999999998</v>
      </c>
      <c r="AE15" s="89">
        <v>0.25195299999999998</v>
      </c>
      <c r="AF15" s="88">
        <v>-3.0000000000000001E-3</v>
      </c>
    </row>
    <row r="16" spans="1:32" x14ac:dyDescent="0.35">
      <c r="A16" s="91" t="s">
        <v>160</v>
      </c>
      <c r="B16" s="93">
        <v>0.96929299999999996</v>
      </c>
      <c r="C16" s="93">
        <v>0.90342699999999998</v>
      </c>
      <c r="D16" s="93">
        <v>0.96715899999999999</v>
      </c>
      <c r="E16" s="93">
        <v>0.97097699999999998</v>
      </c>
      <c r="F16" s="93">
        <v>0.93546399999999996</v>
      </c>
      <c r="G16" s="93">
        <v>0.93738500000000002</v>
      </c>
      <c r="H16" s="93">
        <v>0.94178300000000004</v>
      </c>
      <c r="I16" s="93">
        <v>0.94244899999999998</v>
      </c>
      <c r="J16" s="306">
        <v>0.94071199999999999</v>
      </c>
      <c r="K16" s="93">
        <v>0.92910599999999999</v>
      </c>
      <c r="L16" s="93">
        <v>0.92347000000000001</v>
      </c>
      <c r="M16" s="93">
        <v>0.91384500000000002</v>
      </c>
      <c r="N16" s="93">
        <v>0.90607400000000005</v>
      </c>
      <c r="O16" s="93">
        <v>0.89968599999999999</v>
      </c>
      <c r="P16" s="93">
        <v>0.89468300000000001</v>
      </c>
      <c r="Q16" s="93">
        <v>0.88566500000000004</v>
      </c>
      <c r="R16" s="93">
        <v>0.88467499999999999</v>
      </c>
      <c r="S16" s="93">
        <v>0.885517</v>
      </c>
      <c r="T16" s="93">
        <v>0.87759100000000001</v>
      </c>
      <c r="U16" s="93">
        <v>0.87413300000000005</v>
      </c>
      <c r="V16" s="93">
        <v>0.87206499999999998</v>
      </c>
      <c r="W16" s="93">
        <v>0.86875899999999995</v>
      </c>
      <c r="X16" s="93">
        <v>0.86941599999999997</v>
      </c>
      <c r="Y16" s="93">
        <v>0.867483</v>
      </c>
      <c r="Z16" s="93">
        <v>0.861429</v>
      </c>
      <c r="AA16" s="93">
        <v>0.85858599999999996</v>
      </c>
      <c r="AB16" s="93">
        <v>0.85533000000000003</v>
      </c>
      <c r="AC16" s="93">
        <v>0.85039600000000004</v>
      </c>
      <c r="AD16" s="93">
        <v>0.844974</v>
      </c>
      <c r="AE16" s="93">
        <v>0.83737899999999998</v>
      </c>
      <c r="AF16" s="92">
        <v>-3.0000000000000001E-3</v>
      </c>
    </row>
    <row r="17" spans="1:32" x14ac:dyDescent="0.35">
      <c r="A17" s="90"/>
      <c r="J17" s="190"/>
    </row>
    <row r="18" spans="1:32" x14ac:dyDescent="0.35">
      <c r="A18" s="91" t="s">
        <v>208</v>
      </c>
      <c r="J18" s="190"/>
    </row>
    <row r="19" spans="1:32" x14ac:dyDescent="0.35">
      <c r="A19" s="90" t="s">
        <v>200</v>
      </c>
      <c r="B19" s="89">
        <v>1.9699999999999999E-2</v>
      </c>
      <c r="C19" s="89">
        <v>1.9081000000000001E-2</v>
      </c>
      <c r="D19" s="89">
        <v>1.9234000000000001E-2</v>
      </c>
      <c r="E19" s="89">
        <v>1.9192000000000001E-2</v>
      </c>
      <c r="F19" s="89">
        <v>1.9261E-2</v>
      </c>
      <c r="G19" s="89">
        <v>1.9338999999999999E-2</v>
      </c>
      <c r="H19" s="89">
        <v>1.9432000000000001E-2</v>
      </c>
      <c r="I19" s="89">
        <v>1.9532999999999998E-2</v>
      </c>
      <c r="J19" s="305">
        <v>1.9640000000000001E-2</v>
      </c>
      <c r="K19" s="89">
        <v>1.9741999999999999E-2</v>
      </c>
      <c r="L19" s="89">
        <v>1.9841000000000001E-2</v>
      </c>
      <c r="M19" s="89">
        <v>1.9938000000000001E-2</v>
      </c>
      <c r="N19" s="89">
        <v>2.0032000000000001E-2</v>
      </c>
      <c r="O19" s="89">
        <v>2.0122000000000001E-2</v>
      </c>
      <c r="P19" s="89">
        <v>2.0209000000000001E-2</v>
      </c>
      <c r="Q19" s="89">
        <v>2.0294E-2</v>
      </c>
      <c r="R19" s="89">
        <v>2.0375999999999998E-2</v>
      </c>
      <c r="S19" s="89">
        <v>2.0455999999999998E-2</v>
      </c>
      <c r="T19" s="89">
        <v>2.0537E-2</v>
      </c>
      <c r="U19" s="89">
        <v>2.0618999999999998E-2</v>
      </c>
      <c r="V19" s="89">
        <v>2.0705000000000001E-2</v>
      </c>
      <c r="W19" s="89">
        <v>2.0799999999999999E-2</v>
      </c>
      <c r="X19" s="89">
        <v>2.0899999999999998E-2</v>
      </c>
      <c r="Y19" s="89">
        <v>2.1006E-2</v>
      </c>
      <c r="Z19" s="89">
        <v>2.1118999999999999E-2</v>
      </c>
      <c r="AA19" s="89">
        <v>2.1243000000000001E-2</v>
      </c>
      <c r="AB19" s="89">
        <v>2.137E-2</v>
      </c>
      <c r="AC19" s="89">
        <v>2.1496000000000001E-2</v>
      </c>
      <c r="AD19" s="89">
        <v>2.1618999999999999E-2</v>
      </c>
      <c r="AE19" s="89">
        <v>2.1739000000000001E-2</v>
      </c>
      <c r="AF19" s="88">
        <v>5.0000000000000001E-3</v>
      </c>
    </row>
    <row r="20" spans="1:32" x14ac:dyDescent="0.35">
      <c r="A20" s="90" t="s">
        <v>186</v>
      </c>
      <c r="B20" s="89">
        <v>1.4400000000000001E-3</v>
      </c>
      <c r="C20" s="89">
        <v>1.7099999999999999E-3</v>
      </c>
      <c r="D20" s="89">
        <v>1.449E-3</v>
      </c>
      <c r="E20" s="89">
        <v>1.431E-3</v>
      </c>
      <c r="F20" s="89">
        <v>1.297E-3</v>
      </c>
      <c r="G20" s="89">
        <v>1.341E-3</v>
      </c>
      <c r="H20" s="89">
        <v>1.372E-3</v>
      </c>
      <c r="I20" s="89">
        <v>1.3929999999999999E-3</v>
      </c>
      <c r="J20" s="305">
        <v>1.407E-3</v>
      </c>
      <c r="K20" s="89">
        <v>1.4120000000000001E-3</v>
      </c>
      <c r="L20" s="89">
        <v>1.415E-3</v>
      </c>
      <c r="M20" s="89">
        <v>1.4139999999999999E-3</v>
      </c>
      <c r="N20" s="89">
        <v>1.4139999999999999E-3</v>
      </c>
      <c r="O20" s="89">
        <v>1.4159999999999999E-3</v>
      </c>
      <c r="P20" s="89">
        <v>1.421E-3</v>
      </c>
      <c r="Q20" s="89">
        <v>1.428E-3</v>
      </c>
      <c r="R20" s="89">
        <v>1.428E-3</v>
      </c>
      <c r="S20" s="89">
        <v>1.438E-3</v>
      </c>
      <c r="T20" s="89">
        <v>1.441E-3</v>
      </c>
      <c r="U20" s="89">
        <v>1.446E-3</v>
      </c>
      <c r="V20" s="89">
        <v>1.4480000000000001E-3</v>
      </c>
      <c r="W20" s="89">
        <v>1.4519999999999999E-3</v>
      </c>
      <c r="X20" s="89">
        <v>1.456E-3</v>
      </c>
      <c r="Y20" s="89">
        <v>1.459E-3</v>
      </c>
      <c r="Z20" s="89">
        <v>1.469E-3</v>
      </c>
      <c r="AA20" s="89">
        <v>1.477E-3</v>
      </c>
      <c r="AB20" s="89">
        <v>1.4829999999999999E-3</v>
      </c>
      <c r="AC20" s="89">
        <v>1.49E-3</v>
      </c>
      <c r="AD20" s="89">
        <v>1.49E-3</v>
      </c>
      <c r="AE20" s="89">
        <v>1.488E-3</v>
      </c>
      <c r="AF20" s="88">
        <v>-5.0000000000000001E-3</v>
      </c>
    </row>
    <row r="21" spans="1:32" x14ac:dyDescent="0.35">
      <c r="A21" s="90" t="s">
        <v>183</v>
      </c>
      <c r="B21" s="89">
        <v>4.0999999999999999E-4</v>
      </c>
      <c r="C21" s="89">
        <v>1.08E-4</v>
      </c>
      <c r="D21" s="89">
        <v>1.07E-4</v>
      </c>
      <c r="E21" s="89">
        <v>1.3100000000000001E-4</v>
      </c>
      <c r="F21" s="89">
        <v>1.1900000000000001E-4</v>
      </c>
      <c r="G21" s="89">
        <v>1.3200000000000001E-4</v>
      </c>
      <c r="H21" s="89">
        <v>1.47E-4</v>
      </c>
      <c r="I21" s="89">
        <v>1.6100000000000001E-4</v>
      </c>
      <c r="J21" s="305">
        <v>1.74E-4</v>
      </c>
      <c r="K21" s="89">
        <v>1.8699999999999999E-4</v>
      </c>
      <c r="L21" s="89">
        <v>1.9900000000000001E-4</v>
      </c>
      <c r="M21" s="89">
        <v>2.1000000000000001E-4</v>
      </c>
      <c r="N21" s="89">
        <v>2.2100000000000001E-4</v>
      </c>
      <c r="O21" s="89">
        <v>2.32E-4</v>
      </c>
      <c r="P21" s="89">
        <v>2.42E-4</v>
      </c>
      <c r="Q21" s="89">
        <v>2.52E-4</v>
      </c>
      <c r="R21" s="89">
        <v>2.5999999999999998E-4</v>
      </c>
      <c r="S21" s="89">
        <v>2.7E-4</v>
      </c>
      <c r="T21" s="89">
        <v>2.7900000000000001E-4</v>
      </c>
      <c r="U21" s="89">
        <v>2.8800000000000001E-4</v>
      </c>
      <c r="V21" s="89">
        <v>2.9799999999999998E-4</v>
      </c>
      <c r="W21" s="89">
        <v>3.0800000000000001E-4</v>
      </c>
      <c r="X21" s="89">
        <v>3.19E-4</v>
      </c>
      <c r="Y21" s="89">
        <v>3.3E-4</v>
      </c>
      <c r="Z21" s="89">
        <v>3.4200000000000002E-4</v>
      </c>
      <c r="AA21" s="89">
        <v>3.5599999999999998E-4</v>
      </c>
      <c r="AB21" s="89">
        <v>3.6999999999999999E-4</v>
      </c>
      <c r="AC21" s="89">
        <v>3.8299999999999999E-4</v>
      </c>
      <c r="AD21" s="89">
        <v>3.9500000000000001E-4</v>
      </c>
      <c r="AE21" s="89">
        <v>4.0700000000000003E-4</v>
      </c>
      <c r="AF21" s="88">
        <v>4.8000000000000001E-2</v>
      </c>
    </row>
    <row r="22" spans="1:32" x14ac:dyDescent="0.35">
      <c r="A22" s="90" t="s">
        <v>182</v>
      </c>
      <c r="B22" s="89">
        <v>6.0260000000000001E-2</v>
      </c>
      <c r="C22" s="89">
        <v>5.4496000000000003E-2</v>
      </c>
      <c r="D22" s="89">
        <v>5.3856000000000001E-2</v>
      </c>
      <c r="E22" s="89">
        <v>5.9003E-2</v>
      </c>
      <c r="F22" s="89">
        <v>5.7912999999999999E-2</v>
      </c>
      <c r="G22" s="89">
        <v>5.8443000000000002E-2</v>
      </c>
      <c r="H22" s="89">
        <v>5.8465999999999997E-2</v>
      </c>
      <c r="I22" s="89">
        <v>5.8020000000000002E-2</v>
      </c>
      <c r="J22" s="305">
        <v>5.7334999999999997E-2</v>
      </c>
      <c r="K22" s="89">
        <v>5.6543000000000003E-2</v>
      </c>
      <c r="L22" s="89">
        <v>5.5730000000000002E-2</v>
      </c>
      <c r="M22" s="89">
        <v>5.4923E-2</v>
      </c>
      <c r="N22" s="89">
        <v>5.4156999999999997E-2</v>
      </c>
      <c r="O22" s="89">
        <v>5.3429999999999998E-2</v>
      </c>
      <c r="P22" s="89">
        <v>5.2724E-2</v>
      </c>
      <c r="Q22" s="89">
        <v>5.2055999999999998E-2</v>
      </c>
      <c r="R22" s="89">
        <v>5.1386000000000001E-2</v>
      </c>
      <c r="S22" s="89">
        <v>5.0768000000000001E-2</v>
      </c>
      <c r="T22" s="89">
        <v>5.0167999999999997E-2</v>
      </c>
      <c r="U22" s="89">
        <v>4.9598000000000003E-2</v>
      </c>
      <c r="V22" s="89">
        <v>4.9038999999999999E-2</v>
      </c>
      <c r="W22" s="89">
        <v>4.8497999999999999E-2</v>
      </c>
      <c r="X22" s="89">
        <v>4.7967999999999997E-2</v>
      </c>
      <c r="Y22" s="89">
        <v>4.743E-2</v>
      </c>
      <c r="Z22" s="89">
        <v>4.6960000000000002E-2</v>
      </c>
      <c r="AA22" s="89">
        <v>4.6522000000000001E-2</v>
      </c>
      <c r="AB22" s="89">
        <v>4.6100000000000002E-2</v>
      </c>
      <c r="AC22" s="89">
        <v>4.5685999999999997E-2</v>
      </c>
      <c r="AD22" s="89">
        <v>4.5220999999999997E-2</v>
      </c>
      <c r="AE22" s="89">
        <v>4.4722999999999999E-2</v>
      </c>
      <c r="AF22" s="88">
        <v>-7.0000000000000001E-3</v>
      </c>
    </row>
    <row r="23" spans="1:32" x14ac:dyDescent="0.35">
      <c r="A23" s="90" t="s">
        <v>181</v>
      </c>
      <c r="B23" s="89">
        <v>5.6600000000000001E-3</v>
      </c>
      <c r="C23" s="89">
        <v>3.395E-3</v>
      </c>
      <c r="D23" s="89">
        <v>4.1149999999999997E-3</v>
      </c>
      <c r="E23" s="89">
        <v>1.0527999999999999E-2</v>
      </c>
      <c r="F23" s="89">
        <v>1.1079E-2</v>
      </c>
      <c r="G23" s="89">
        <v>1.1325999999999999E-2</v>
      </c>
      <c r="H23" s="89">
        <v>1.1518E-2</v>
      </c>
      <c r="I23" s="89">
        <v>1.1608E-2</v>
      </c>
      <c r="J23" s="305">
        <v>1.1642E-2</v>
      </c>
      <c r="K23" s="89">
        <v>1.1644E-2</v>
      </c>
      <c r="L23" s="89">
        <v>1.1650000000000001E-2</v>
      </c>
      <c r="M23" s="89">
        <v>1.1594999999999999E-2</v>
      </c>
      <c r="N23" s="89">
        <v>1.1601999999999999E-2</v>
      </c>
      <c r="O23" s="89">
        <v>1.1625E-2</v>
      </c>
      <c r="P23" s="89">
        <v>1.1645000000000001E-2</v>
      </c>
      <c r="Q23" s="89">
        <v>1.1606E-2</v>
      </c>
      <c r="R23" s="89">
        <v>1.1568999999999999E-2</v>
      </c>
      <c r="S23" s="89">
        <v>1.1620999999999999E-2</v>
      </c>
      <c r="T23" s="89">
        <v>1.1565000000000001E-2</v>
      </c>
      <c r="U23" s="89">
        <v>1.1583E-2</v>
      </c>
      <c r="V23" s="89">
        <v>1.1585E-2</v>
      </c>
      <c r="W23" s="89">
        <v>1.1599E-2</v>
      </c>
      <c r="X23" s="89">
        <v>1.1632999999999999E-2</v>
      </c>
      <c r="Y23" s="89">
        <v>1.1655E-2</v>
      </c>
      <c r="Z23" s="89">
        <v>1.1741E-2</v>
      </c>
      <c r="AA23" s="89">
        <v>1.1805E-2</v>
      </c>
      <c r="AB23" s="89">
        <v>1.1859E-2</v>
      </c>
      <c r="AC23" s="89">
        <v>1.1927999999999999E-2</v>
      </c>
      <c r="AD23" s="89">
        <v>1.1955E-2</v>
      </c>
      <c r="AE23" s="89">
        <v>1.196E-2</v>
      </c>
      <c r="AF23" s="88">
        <v>4.5999999999999999E-2</v>
      </c>
    </row>
    <row r="24" spans="1:32" x14ac:dyDescent="0.35">
      <c r="A24" s="97" t="s">
        <v>178</v>
      </c>
      <c r="B24" s="89">
        <v>8.7470000000000006E-2</v>
      </c>
      <c r="C24" s="89">
        <v>7.8788999999999998E-2</v>
      </c>
      <c r="D24" s="89">
        <v>7.8760999999999998E-2</v>
      </c>
      <c r="E24" s="89">
        <v>9.0283000000000002E-2</v>
      </c>
      <c r="F24" s="89">
        <v>8.9668999999999999E-2</v>
      </c>
      <c r="G24" s="89">
        <v>9.0581999999999996E-2</v>
      </c>
      <c r="H24" s="89">
        <v>9.0935000000000002E-2</v>
      </c>
      <c r="I24" s="89">
        <v>9.0715000000000004E-2</v>
      </c>
      <c r="J24" s="305">
        <v>9.0199000000000001E-2</v>
      </c>
      <c r="K24" s="89">
        <v>8.9527999999999996E-2</v>
      </c>
      <c r="L24" s="89">
        <v>8.8834999999999997E-2</v>
      </c>
      <c r="M24" s="89">
        <v>8.8080000000000006E-2</v>
      </c>
      <c r="N24" s="89">
        <v>8.7427000000000005E-2</v>
      </c>
      <c r="O24" s="89">
        <v>8.6824999999999999E-2</v>
      </c>
      <c r="P24" s="89">
        <v>8.6240999999999998E-2</v>
      </c>
      <c r="Q24" s="89">
        <v>8.5635000000000003E-2</v>
      </c>
      <c r="R24" s="89">
        <v>8.5019999999999998E-2</v>
      </c>
      <c r="S24" s="89">
        <v>8.4553000000000003E-2</v>
      </c>
      <c r="T24" s="89">
        <v>8.3989999999999995E-2</v>
      </c>
      <c r="U24" s="89">
        <v>8.3533999999999997E-2</v>
      </c>
      <c r="V24" s="89">
        <v>8.3074999999999996E-2</v>
      </c>
      <c r="W24" s="89">
        <v>8.2655999999999993E-2</v>
      </c>
      <c r="X24" s="89">
        <v>8.2276000000000002E-2</v>
      </c>
      <c r="Y24" s="89">
        <v>8.1879999999999994E-2</v>
      </c>
      <c r="Z24" s="89">
        <v>8.1631999999999996E-2</v>
      </c>
      <c r="AA24" s="89">
        <v>8.1402000000000002E-2</v>
      </c>
      <c r="AB24" s="89">
        <v>8.1181000000000003E-2</v>
      </c>
      <c r="AC24" s="89">
        <v>8.0982999999999999E-2</v>
      </c>
      <c r="AD24" s="89">
        <v>8.0680000000000002E-2</v>
      </c>
      <c r="AE24" s="89">
        <v>8.0318000000000001E-2</v>
      </c>
      <c r="AF24" s="88">
        <v>1E-3</v>
      </c>
    </row>
    <row r="25" spans="1:32" x14ac:dyDescent="0.35">
      <c r="A25" s="90" t="s">
        <v>177</v>
      </c>
      <c r="B25" s="89">
        <v>0.15915000000000001</v>
      </c>
      <c r="C25" s="89">
        <v>0.151671</v>
      </c>
      <c r="D25" s="89">
        <v>0.164294</v>
      </c>
      <c r="E25" s="89">
        <v>0.17077400000000001</v>
      </c>
      <c r="F25" s="89">
        <v>0.16841500000000001</v>
      </c>
      <c r="G25" s="89">
        <v>0.169983</v>
      </c>
      <c r="H25" s="89">
        <v>0.17158300000000001</v>
      </c>
      <c r="I25" s="89">
        <v>0.172594</v>
      </c>
      <c r="J25" s="305">
        <v>0.17368</v>
      </c>
      <c r="K25" s="89">
        <v>0.17480299999999999</v>
      </c>
      <c r="L25" s="89">
        <v>0.17554600000000001</v>
      </c>
      <c r="M25" s="89">
        <v>0.17630299999999999</v>
      </c>
      <c r="N25" s="89">
        <v>0.17718400000000001</v>
      </c>
      <c r="O25" s="89">
        <v>0.17791999999999999</v>
      </c>
      <c r="P25" s="89">
        <v>0.17833499999999999</v>
      </c>
      <c r="Q25" s="89">
        <v>0.17879700000000001</v>
      </c>
      <c r="R25" s="89">
        <v>0.17932799999999999</v>
      </c>
      <c r="S25" s="89">
        <v>0.18012500000000001</v>
      </c>
      <c r="T25" s="89">
        <v>0.18073800000000001</v>
      </c>
      <c r="U25" s="89">
        <v>0.181501</v>
      </c>
      <c r="V25" s="89">
        <v>0.18315300000000001</v>
      </c>
      <c r="W25" s="89">
        <v>0.18595300000000001</v>
      </c>
      <c r="X25" s="89">
        <v>0.18911</v>
      </c>
      <c r="Y25" s="89">
        <v>0.191854</v>
      </c>
      <c r="Z25" s="89">
        <v>0.19450400000000001</v>
      </c>
      <c r="AA25" s="89">
        <v>0.197016</v>
      </c>
      <c r="AB25" s="89">
        <v>0.19959199999999999</v>
      </c>
      <c r="AC25" s="89">
        <v>0.20233799999999999</v>
      </c>
      <c r="AD25" s="89">
        <v>0.204565</v>
      </c>
      <c r="AE25" s="89">
        <v>0.206488</v>
      </c>
      <c r="AF25" s="88">
        <v>1.0999999999999999E-2</v>
      </c>
    </row>
    <row r="26" spans="1:32" x14ac:dyDescent="0.35">
      <c r="A26" s="90" t="s">
        <v>207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305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 t="s">
        <v>163</v>
      </c>
    </row>
    <row r="27" spans="1:32" x14ac:dyDescent="0.35">
      <c r="A27" s="90" t="s">
        <v>206</v>
      </c>
      <c r="B27" s="89">
        <v>8.5699999999999995E-3</v>
      </c>
      <c r="C27" s="89">
        <v>9.3860000000000002E-3</v>
      </c>
      <c r="D27" s="89">
        <v>9.3860000000000002E-3</v>
      </c>
      <c r="E27" s="89">
        <v>9.3860000000000002E-3</v>
      </c>
      <c r="F27" s="89">
        <v>9.3860000000000002E-3</v>
      </c>
      <c r="G27" s="89">
        <v>9.3860000000000002E-3</v>
      </c>
      <c r="H27" s="89">
        <v>9.3860000000000002E-3</v>
      </c>
      <c r="I27" s="89">
        <v>9.3860000000000002E-3</v>
      </c>
      <c r="J27" s="305">
        <v>9.3860000000000002E-3</v>
      </c>
      <c r="K27" s="89">
        <v>9.3860000000000002E-3</v>
      </c>
      <c r="L27" s="89">
        <v>9.3860000000000002E-3</v>
      </c>
      <c r="M27" s="89">
        <v>9.3860000000000002E-3</v>
      </c>
      <c r="N27" s="89">
        <v>9.3860000000000002E-3</v>
      </c>
      <c r="O27" s="89">
        <v>9.3860000000000002E-3</v>
      </c>
      <c r="P27" s="89">
        <v>9.3860000000000002E-3</v>
      </c>
      <c r="Q27" s="89">
        <v>9.3860000000000002E-3</v>
      </c>
      <c r="R27" s="89">
        <v>9.3860000000000002E-3</v>
      </c>
      <c r="S27" s="89">
        <v>9.3860000000000002E-3</v>
      </c>
      <c r="T27" s="89">
        <v>9.3860000000000002E-3</v>
      </c>
      <c r="U27" s="89">
        <v>9.3860000000000002E-3</v>
      </c>
      <c r="V27" s="89">
        <v>9.3860000000000002E-3</v>
      </c>
      <c r="W27" s="89">
        <v>9.3860000000000002E-3</v>
      </c>
      <c r="X27" s="89">
        <v>9.3860000000000002E-3</v>
      </c>
      <c r="Y27" s="89">
        <v>9.3860000000000002E-3</v>
      </c>
      <c r="Z27" s="89">
        <v>9.3860000000000002E-3</v>
      </c>
      <c r="AA27" s="89">
        <v>9.3860000000000002E-3</v>
      </c>
      <c r="AB27" s="89">
        <v>9.3860000000000002E-3</v>
      </c>
      <c r="AC27" s="89">
        <v>9.3860000000000002E-3</v>
      </c>
      <c r="AD27" s="89">
        <v>9.3860000000000002E-3</v>
      </c>
      <c r="AE27" s="89">
        <v>9.3860000000000002E-3</v>
      </c>
      <c r="AF27" s="88">
        <v>0</v>
      </c>
    </row>
    <row r="28" spans="1:32" x14ac:dyDescent="0.35">
      <c r="A28" s="90" t="s">
        <v>194</v>
      </c>
      <c r="B28" s="89">
        <v>0.15359999999999999</v>
      </c>
      <c r="C28" s="89">
        <v>0.15154999999999999</v>
      </c>
      <c r="D28" s="89">
        <v>0.15246000000000001</v>
      </c>
      <c r="E28" s="89">
        <v>0.14990600000000001</v>
      </c>
      <c r="F28" s="89">
        <v>0.150614</v>
      </c>
      <c r="G28" s="89">
        <v>0.151147</v>
      </c>
      <c r="H28" s="89">
        <v>0.15191299999999999</v>
      </c>
      <c r="I28" s="89">
        <v>0.15259300000000001</v>
      </c>
      <c r="J28" s="305">
        <v>0.153223</v>
      </c>
      <c r="K28" s="89">
        <v>0.15343899999999999</v>
      </c>
      <c r="L28" s="89">
        <v>0.15382999999999999</v>
      </c>
      <c r="M28" s="89">
        <v>0.15420800000000001</v>
      </c>
      <c r="N28" s="89">
        <v>0.154692</v>
      </c>
      <c r="O28" s="89">
        <v>0.15495200000000001</v>
      </c>
      <c r="P28" s="89">
        <v>0.15546199999999999</v>
      </c>
      <c r="Q28" s="89">
        <v>0.15598500000000001</v>
      </c>
      <c r="R28" s="89">
        <v>0.15638299999999999</v>
      </c>
      <c r="S28" s="89">
        <v>0.156719</v>
      </c>
      <c r="T28" s="89">
        <v>0.15709200000000001</v>
      </c>
      <c r="U28" s="89">
        <v>0.157114</v>
      </c>
      <c r="V28" s="89">
        <v>0.157245</v>
      </c>
      <c r="W28" s="89">
        <v>0.157664</v>
      </c>
      <c r="X28" s="89">
        <v>0.15834100000000001</v>
      </c>
      <c r="Y28" s="89">
        <v>0.158941</v>
      </c>
      <c r="Z28" s="89">
        <v>0.15937699999999999</v>
      </c>
      <c r="AA28" s="89">
        <v>0.15989200000000001</v>
      </c>
      <c r="AB28" s="89">
        <v>0.160408</v>
      </c>
      <c r="AC28" s="89">
        <v>0.160911</v>
      </c>
      <c r="AD28" s="89">
        <v>0.16125700000000001</v>
      </c>
      <c r="AE28" s="89">
        <v>0.161355</v>
      </c>
      <c r="AF28" s="88">
        <v>2E-3</v>
      </c>
    </row>
    <row r="29" spans="1:32" x14ac:dyDescent="0.35">
      <c r="A29" s="91" t="s">
        <v>193</v>
      </c>
      <c r="B29" s="93">
        <v>0.40878999999999999</v>
      </c>
      <c r="C29" s="93">
        <v>0.39139600000000002</v>
      </c>
      <c r="D29" s="93">
        <v>0.40489999999999998</v>
      </c>
      <c r="E29" s="93">
        <v>0.42034899999999997</v>
      </c>
      <c r="F29" s="93">
        <v>0.41808299999999998</v>
      </c>
      <c r="G29" s="93">
        <v>0.42109799999999997</v>
      </c>
      <c r="H29" s="93">
        <v>0.423817</v>
      </c>
      <c r="I29" s="93">
        <v>0.425288</v>
      </c>
      <c r="J29" s="306">
        <v>0.42648799999999998</v>
      </c>
      <c r="K29" s="93">
        <v>0.42715500000000001</v>
      </c>
      <c r="L29" s="93">
        <v>0.427597</v>
      </c>
      <c r="M29" s="93">
        <v>0.427977</v>
      </c>
      <c r="N29" s="93">
        <v>0.42868899999999999</v>
      </c>
      <c r="O29" s="93">
        <v>0.42908299999999999</v>
      </c>
      <c r="P29" s="93">
        <v>0.429423</v>
      </c>
      <c r="Q29" s="93">
        <v>0.42980400000000002</v>
      </c>
      <c r="R29" s="93">
        <v>0.430116</v>
      </c>
      <c r="S29" s="93">
        <v>0.43078300000000003</v>
      </c>
      <c r="T29" s="93">
        <v>0.43120700000000001</v>
      </c>
      <c r="U29" s="93">
        <v>0.43153399999999997</v>
      </c>
      <c r="V29" s="93">
        <v>0.43286000000000002</v>
      </c>
      <c r="W29" s="93">
        <v>0.43565799999999999</v>
      </c>
      <c r="X29" s="93">
        <v>0.43911299999999998</v>
      </c>
      <c r="Y29" s="93">
        <v>0.44206099999999998</v>
      </c>
      <c r="Z29" s="93">
        <v>0.44489899999999999</v>
      </c>
      <c r="AA29" s="93">
        <v>0.44769599999999998</v>
      </c>
      <c r="AB29" s="93">
        <v>0.450567</v>
      </c>
      <c r="AC29" s="93">
        <v>0.45361800000000002</v>
      </c>
      <c r="AD29" s="93">
        <v>0.45588800000000002</v>
      </c>
      <c r="AE29" s="93">
        <v>0.45754600000000001</v>
      </c>
      <c r="AF29" s="92">
        <v>6.0000000000000001E-3</v>
      </c>
    </row>
    <row r="30" spans="1:32" x14ac:dyDescent="0.35">
      <c r="A30" s="90" t="s">
        <v>192</v>
      </c>
      <c r="B30" s="89">
        <v>0.28277200000000002</v>
      </c>
      <c r="C30" s="89">
        <v>0.26838499999999998</v>
      </c>
      <c r="D30" s="89">
        <v>0.26159700000000002</v>
      </c>
      <c r="E30" s="89">
        <v>0.26324999999999998</v>
      </c>
      <c r="F30" s="89">
        <v>0.25709700000000002</v>
      </c>
      <c r="G30" s="89">
        <v>0.26171100000000003</v>
      </c>
      <c r="H30" s="89">
        <v>0.26803500000000002</v>
      </c>
      <c r="I30" s="89">
        <v>0.27200000000000002</v>
      </c>
      <c r="J30" s="305">
        <v>0.27425500000000003</v>
      </c>
      <c r="K30" s="89">
        <v>0.272677</v>
      </c>
      <c r="L30" s="89">
        <v>0.27298699999999998</v>
      </c>
      <c r="M30" s="89">
        <v>0.26830300000000001</v>
      </c>
      <c r="N30" s="89">
        <v>0.264652</v>
      </c>
      <c r="O30" s="89">
        <v>0.26216200000000001</v>
      </c>
      <c r="P30" s="89">
        <v>0.26188800000000001</v>
      </c>
      <c r="Q30" s="89">
        <v>0.25732699999999997</v>
      </c>
      <c r="R30" s="89">
        <v>0.26077899999999998</v>
      </c>
      <c r="S30" s="89">
        <v>0.26586199999999999</v>
      </c>
      <c r="T30" s="89">
        <v>0.26196700000000001</v>
      </c>
      <c r="U30" s="89">
        <v>0.26333200000000001</v>
      </c>
      <c r="V30" s="89">
        <v>0.265241</v>
      </c>
      <c r="W30" s="89">
        <v>0.26513500000000001</v>
      </c>
      <c r="X30" s="89">
        <v>0.26875700000000002</v>
      </c>
      <c r="Y30" s="89">
        <v>0.269926</v>
      </c>
      <c r="Z30" s="89">
        <v>0.26680900000000002</v>
      </c>
      <c r="AA30" s="89">
        <v>0.26739200000000002</v>
      </c>
      <c r="AB30" s="89">
        <v>0.267513</v>
      </c>
      <c r="AC30" s="89">
        <v>0.26552900000000002</v>
      </c>
      <c r="AD30" s="89">
        <v>0.26335399999999998</v>
      </c>
      <c r="AE30" s="89">
        <v>0.25876700000000002</v>
      </c>
      <c r="AF30" s="88">
        <v>-1E-3</v>
      </c>
    </row>
    <row r="31" spans="1:32" x14ac:dyDescent="0.35">
      <c r="A31" s="91" t="s">
        <v>160</v>
      </c>
      <c r="B31" s="93">
        <v>0.69156200000000001</v>
      </c>
      <c r="C31" s="93">
        <v>0.65978099999999995</v>
      </c>
      <c r="D31" s="93">
        <v>0.66649599999999998</v>
      </c>
      <c r="E31" s="93">
        <v>0.68359899999999996</v>
      </c>
      <c r="F31" s="93">
        <v>0.67518</v>
      </c>
      <c r="G31" s="93">
        <v>0.682809</v>
      </c>
      <c r="H31" s="93">
        <v>0.69185200000000002</v>
      </c>
      <c r="I31" s="93">
        <v>0.69728800000000002</v>
      </c>
      <c r="J31" s="306">
        <v>0.70074199999999998</v>
      </c>
      <c r="K31" s="93">
        <v>0.69983099999999998</v>
      </c>
      <c r="L31" s="93">
        <v>0.70058399999999998</v>
      </c>
      <c r="M31" s="93">
        <v>0.69628000000000001</v>
      </c>
      <c r="N31" s="93">
        <v>0.69334099999999999</v>
      </c>
      <c r="O31" s="93">
        <v>0.69124399999999997</v>
      </c>
      <c r="P31" s="93">
        <v>0.69131200000000004</v>
      </c>
      <c r="Q31" s="93">
        <v>0.68713000000000002</v>
      </c>
      <c r="R31" s="93">
        <v>0.69089500000000004</v>
      </c>
      <c r="S31" s="93">
        <v>0.69664499999999996</v>
      </c>
      <c r="T31" s="93">
        <v>0.69317399999999996</v>
      </c>
      <c r="U31" s="93">
        <v>0.69486700000000001</v>
      </c>
      <c r="V31" s="93">
        <v>0.69810099999999997</v>
      </c>
      <c r="W31" s="93">
        <v>0.700793</v>
      </c>
      <c r="X31" s="93">
        <v>0.70787</v>
      </c>
      <c r="Y31" s="93">
        <v>0.71198700000000004</v>
      </c>
      <c r="Z31" s="93">
        <v>0.71170800000000001</v>
      </c>
      <c r="AA31" s="93">
        <v>0.71508799999999995</v>
      </c>
      <c r="AB31" s="93">
        <v>0.71808000000000005</v>
      </c>
      <c r="AC31" s="93">
        <v>0.71914599999999995</v>
      </c>
      <c r="AD31" s="93">
        <v>0.71924200000000005</v>
      </c>
      <c r="AE31" s="93">
        <v>0.71631299999999998</v>
      </c>
      <c r="AF31" s="92">
        <v>3.0000000000000001E-3</v>
      </c>
    </row>
    <row r="32" spans="1:32" x14ac:dyDescent="0.35">
      <c r="A32" s="90"/>
    </row>
    <row r="33" spans="1:32" x14ac:dyDescent="0.35">
      <c r="A33" s="91" t="s">
        <v>205</v>
      </c>
    </row>
    <row r="34" spans="1:32" x14ac:dyDescent="0.35">
      <c r="A34" s="97" t="s">
        <v>187</v>
      </c>
      <c r="B34" s="89">
        <v>6.0000000000000001E-3</v>
      </c>
      <c r="C34" s="89">
        <v>5.7809999999999997E-3</v>
      </c>
      <c r="D34" s="89">
        <v>5.77E-3</v>
      </c>
      <c r="E34" s="89">
        <v>5.836E-3</v>
      </c>
      <c r="F34" s="89">
        <v>6.1000000000000004E-3</v>
      </c>
      <c r="G34" s="89">
        <v>6.4159999999999998E-3</v>
      </c>
      <c r="H34" s="89">
        <v>6.7099999999999998E-3</v>
      </c>
      <c r="I34" s="89">
        <v>6.9810000000000002E-3</v>
      </c>
      <c r="J34" s="89">
        <v>7.2139999999999999E-3</v>
      </c>
      <c r="K34" s="89">
        <v>7.3749999999999996E-3</v>
      </c>
      <c r="L34" s="89">
        <v>7.4650000000000003E-3</v>
      </c>
      <c r="M34" s="89">
        <v>7.5900000000000004E-3</v>
      </c>
      <c r="N34" s="89">
        <v>7.7000000000000002E-3</v>
      </c>
      <c r="O34" s="89">
        <v>7.7580000000000001E-3</v>
      </c>
      <c r="P34" s="89">
        <v>7.7739999999999997E-3</v>
      </c>
      <c r="Q34" s="89">
        <v>7.7419999999999998E-3</v>
      </c>
      <c r="R34" s="89">
        <v>7.731E-3</v>
      </c>
      <c r="S34" s="89">
        <v>7.7450000000000001E-3</v>
      </c>
      <c r="T34" s="89">
        <v>7.6680000000000003E-3</v>
      </c>
      <c r="U34" s="89">
        <v>7.5859999999999999E-3</v>
      </c>
      <c r="V34" s="89">
        <v>7.5129999999999997E-3</v>
      </c>
      <c r="W34" s="89">
        <v>7.4419999999999998E-3</v>
      </c>
      <c r="X34" s="89">
        <v>7.3439999999999998E-3</v>
      </c>
      <c r="Y34" s="89">
        <v>7.1989999999999997E-3</v>
      </c>
      <c r="Z34" s="89">
        <v>7.1170000000000001E-3</v>
      </c>
      <c r="AA34" s="89">
        <v>7.0130000000000001E-3</v>
      </c>
      <c r="AB34" s="89">
        <v>6.979E-3</v>
      </c>
      <c r="AC34" s="89">
        <v>6.9059999999999998E-3</v>
      </c>
      <c r="AD34" s="89">
        <v>6.8050000000000003E-3</v>
      </c>
      <c r="AE34" s="89">
        <v>6.6800000000000002E-3</v>
      </c>
      <c r="AF34" s="88">
        <v>5.0000000000000001E-3</v>
      </c>
    </row>
    <row r="35" spans="1:32" x14ac:dyDescent="0.35">
      <c r="A35" s="90" t="s">
        <v>186</v>
      </c>
      <c r="B35" s="89">
        <v>1.1390000000000001E-2</v>
      </c>
      <c r="C35" s="89">
        <v>1.2444999999999999E-2</v>
      </c>
      <c r="D35" s="89">
        <v>1.2418E-2</v>
      </c>
      <c r="E35" s="89">
        <v>1.3129999999999999E-2</v>
      </c>
      <c r="F35" s="89">
        <v>1.3696E-2</v>
      </c>
      <c r="G35" s="89">
        <v>1.4174000000000001E-2</v>
      </c>
      <c r="H35" s="89">
        <v>1.4447E-2</v>
      </c>
      <c r="I35" s="89">
        <v>1.4649000000000001E-2</v>
      </c>
      <c r="J35" s="89">
        <v>1.4704999999999999E-2</v>
      </c>
      <c r="K35" s="89">
        <v>1.4763999999999999E-2</v>
      </c>
      <c r="L35" s="89">
        <v>1.4796E-2</v>
      </c>
      <c r="M35" s="89">
        <v>1.4855999999999999E-2</v>
      </c>
      <c r="N35" s="89">
        <v>1.4928E-2</v>
      </c>
      <c r="O35" s="89">
        <v>1.5023E-2</v>
      </c>
      <c r="P35" s="89">
        <v>1.5154000000000001E-2</v>
      </c>
      <c r="Q35" s="89">
        <v>1.5252E-2</v>
      </c>
      <c r="R35" s="89">
        <v>1.5337E-2</v>
      </c>
      <c r="S35" s="89">
        <v>1.541E-2</v>
      </c>
      <c r="T35" s="89">
        <v>1.5497E-2</v>
      </c>
      <c r="U35" s="89">
        <v>1.5606E-2</v>
      </c>
      <c r="V35" s="89">
        <v>1.5702000000000001E-2</v>
      </c>
      <c r="W35" s="89">
        <v>1.5799000000000001E-2</v>
      </c>
      <c r="X35" s="89">
        <v>1.5889E-2</v>
      </c>
      <c r="Y35" s="89">
        <v>1.5994999999999999E-2</v>
      </c>
      <c r="Z35" s="89">
        <v>1.6088999999999999E-2</v>
      </c>
      <c r="AA35" s="89">
        <v>1.6197E-2</v>
      </c>
      <c r="AB35" s="89">
        <v>1.6296999999999999E-2</v>
      </c>
      <c r="AC35" s="89">
        <v>1.6386999999999999E-2</v>
      </c>
      <c r="AD35" s="89">
        <v>1.6482E-2</v>
      </c>
      <c r="AE35" s="89">
        <v>1.6573999999999998E-2</v>
      </c>
      <c r="AF35" s="88">
        <v>0.01</v>
      </c>
    </row>
    <row r="36" spans="1:32" x14ac:dyDescent="0.35">
      <c r="A36" s="90" t="s">
        <v>182</v>
      </c>
      <c r="B36" s="89">
        <v>2.376E-2</v>
      </c>
      <c r="C36" s="89">
        <v>2.1208999999999999E-2</v>
      </c>
      <c r="D36" s="89">
        <v>2.1512E-2</v>
      </c>
      <c r="E36" s="89">
        <v>2.2556E-2</v>
      </c>
      <c r="F36" s="89">
        <v>2.436E-2</v>
      </c>
      <c r="G36" s="89">
        <v>2.5128000000000001E-2</v>
      </c>
      <c r="H36" s="89">
        <v>2.5425E-2</v>
      </c>
      <c r="I36" s="89">
        <v>2.5503000000000001E-2</v>
      </c>
      <c r="J36" s="89">
        <v>2.5623E-2</v>
      </c>
      <c r="K36" s="89">
        <v>2.5721999999999998E-2</v>
      </c>
      <c r="L36" s="89">
        <v>2.5798999999999999E-2</v>
      </c>
      <c r="M36" s="89">
        <v>2.5871999999999999E-2</v>
      </c>
      <c r="N36" s="89">
        <v>2.6001E-2</v>
      </c>
      <c r="O36" s="89">
        <v>2.6180999999999999E-2</v>
      </c>
      <c r="P36" s="89">
        <v>2.6412999999999999E-2</v>
      </c>
      <c r="Q36" s="89">
        <v>2.6591E-2</v>
      </c>
      <c r="R36" s="89">
        <v>2.6724000000000001E-2</v>
      </c>
      <c r="S36" s="89">
        <v>2.6804999999999999E-2</v>
      </c>
      <c r="T36" s="89">
        <v>2.6894000000000001E-2</v>
      </c>
      <c r="U36" s="89">
        <v>2.7026000000000001E-2</v>
      </c>
      <c r="V36" s="89">
        <v>2.7073E-2</v>
      </c>
      <c r="W36" s="89">
        <v>2.6964999999999999E-2</v>
      </c>
      <c r="X36" s="89">
        <v>2.6963000000000001E-2</v>
      </c>
      <c r="Y36" s="89">
        <v>2.7060000000000001E-2</v>
      </c>
      <c r="Z36" s="89">
        <v>2.7192000000000001E-2</v>
      </c>
      <c r="AA36" s="89">
        <v>2.7326E-2</v>
      </c>
      <c r="AB36" s="89">
        <v>2.7456000000000001E-2</v>
      </c>
      <c r="AC36" s="89">
        <v>2.7595999999999999E-2</v>
      </c>
      <c r="AD36" s="89">
        <v>2.7716999999999999E-2</v>
      </c>
      <c r="AE36" s="89">
        <v>2.7859999999999999E-2</v>
      </c>
      <c r="AF36" s="88">
        <v>0.01</v>
      </c>
    </row>
    <row r="37" spans="1:32" x14ac:dyDescent="0.35">
      <c r="A37" s="90" t="s">
        <v>181</v>
      </c>
      <c r="B37" s="89">
        <v>1.044E-2</v>
      </c>
      <c r="C37" s="89">
        <v>7.0939999999999996E-3</v>
      </c>
      <c r="D37" s="89">
        <v>6.0670000000000003E-3</v>
      </c>
      <c r="E37" s="89">
        <v>6.4149999999999997E-3</v>
      </c>
      <c r="F37" s="89">
        <v>7.5630000000000003E-3</v>
      </c>
      <c r="G37" s="89">
        <v>7.9299999999999995E-3</v>
      </c>
      <c r="H37" s="89">
        <v>8.3199999999999993E-3</v>
      </c>
      <c r="I37" s="89">
        <v>8.626E-3</v>
      </c>
      <c r="J37" s="89">
        <v>8.5929999999999999E-3</v>
      </c>
      <c r="K37" s="89">
        <v>8.5529999999999998E-3</v>
      </c>
      <c r="L37" s="89">
        <v>8.6669999999999994E-3</v>
      </c>
      <c r="M37" s="89">
        <v>8.6820000000000005E-3</v>
      </c>
      <c r="N37" s="89">
        <v>8.7290000000000006E-3</v>
      </c>
      <c r="O37" s="89">
        <v>8.8540000000000008E-3</v>
      </c>
      <c r="P37" s="89">
        <v>9.0200000000000002E-3</v>
      </c>
      <c r="Q37" s="89">
        <v>9.1140000000000006E-3</v>
      </c>
      <c r="R37" s="89">
        <v>9.1979999999999996E-3</v>
      </c>
      <c r="S37" s="89">
        <v>9.2999999999999992E-3</v>
      </c>
      <c r="T37" s="89">
        <v>9.3629999999999998E-3</v>
      </c>
      <c r="U37" s="89">
        <v>9.4330000000000004E-3</v>
      </c>
      <c r="V37" s="89">
        <v>9.3130000000000001E-3</v>
      </c>
      <c r="W37" s="89">
        <v>9.0530000000000003E-3</v>
      </c>
      <c r="X37" s="89">
        <v>8.9910000000000007E-3</v>
      </c>
      <c r="Y37" s="89">
        <v>8.9700000000000005E-3</v>
      </c>
      <c r="Z37" s="89">
        <v>8.9949999999999995E-3</v>
      </c>
      <c r="AA37" s="89">
        <v>9.0310000000000008E-3</v>
      </c>
      <c r="AB37" s="89">
        <v>9.0659999999999994E-3</v>
      </c>
      <c r="AC37" s="89">
        <v>9.1269999999999997E-3</v>
      </c>
      <c r="AD37" s="89">
        <v>9.2969999999999997E-3</v>
      </c>
      <c r="AE37" s="89">
        <v>9.4870000000000006E-3</v>
      </c>
      <c r="AF37" s="88">
        <v>0.01</v>
      </c>
    </row>
    <row r="38" spans="1:32" x14ac:dyDescent="0.35">
      <c r="A38" s="90" t="s">
        <v>180</v>
      </c>
      <c r="B38" s="89">
        <v>0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0</v>
      </c>
      <c r="AD38" s="89">
        <v>0</v>
      </c>
      <c r="AE38" s="89">
        <v>0</v>
      </c>
      <c r="AF38" s="89" t="s">
        <v>163</v>
      </c>
    </row>
    <row r="39" spans="1:32" x14ac:dyDescent="0.35">
      <c r="A39" s="90" t="s">
        <v>204</v>
      </c>
      <c r="B39" s="89">
        <v>2.4119999999999999E-2</v>
      </c>
      <c r="C39" s="89">
        <v>2.2821000000000001E-2</v>
      </c>
      <c r="D39" s="89">
        <v>2.1818000000000001E-2</v>
      </c>
      <c r="E39" s="89">
        <v>2.2647E-2</v>
      </c>
      <c r="F39" s="89">
        <v>2.5891000000000001E-2</v>
      </c>
      <c r="G39" s="89">
        <v>2.7511000000000001E-2</v>
      </c>
      <c r="H39" s="89">
        <v>2.8395E-2</v>
      </c>
      <c r="I39" s="89">
        <v>2.8990999999999999E-2</v>
      </c>
      <c r="J39" s="89">
        <v>2.9111999999999999E-2</v>
      </c>
      <c r="K39" s="89">
        <v>2.9172E-2</v>
      </c>
      <c r="L39" s="89">
        <v>2.92E-2</v>
      </c>
      <c r="M39" s="89">
        <v>2.9211000000000001E-2</v>
      </c>
      <c r="N39" s="89">
        <v>2.9343999999999999E-2</v>
      </c>
      <c r="O39" s="89">
        <v>2.9593999999999999E-2</v>
      </c>
      <c r="P39" s="89">
        <v>2.9960000000000001E-2</v>
      </c>
      <c r="Q39" s="89">
        <v>3.0247E-2</v>
      </c>
      <c r="R39" s="89">
        <v>3.0417E-2</v>
      </c>
      <c r="S39" s="89">
        <v>3.0442E-2</v>
      </c>
      <c r="T39" s="89">
        <v>3.0537000000000002E-2</v>
      </c>
      <c r="U39" s="89">
        <v>3.0682000000000001E-2</v>
      </c>
      <c r="V39" s="89">
        <v>3.0737E-2</v>
      </c>
      <c r="W39" s="89">
        <v>3.0516999999999999E-2</v>
      </c>
      <c r="X39" s="89">
        <v>3.0547999999999999E-2</v>
      </c>
      <c r="Y39" s="89">
        <v>3.0766000000000002E-2</v>
      </c>
      <c r="Z39" s="89">
        <v>3.1036999999999999E-2</v>
      </c>
      <c r="AA39" s="89">
        <v>3.1314000000000002E-2</v>
      </c>
      <c r="AB39" s="89">
        <v>3.1584000000000001E-2</v>
      </c>
      <c r="AC39" s="89">
        <v>3.1874E-2</v>
      </c>
      <c r="AD39" s="89">
        <v>3.2121999999999998E-2</v>
      </c>
      <c r="AE39" s="89">
        <v>3.2445000000000002E-2</v>
      </c>
      <c r="AF39" s="88">
        <v>1.2999999999999999E-2</v>
      </c>
    </row>
    <row r="40" spans="1:32" x14ac:dyDescent="0.35">
      <c r="A40" s="97" t="s">
        <v>178</v>
      </c>
      <c r="B40" s="89">
        <v>7.571E-2</v>
      </c>
      <c r="C40" s="89">
        <v>6.9348999999999994E-2</v>
      </c>
      <c r="D40" s="89">
        <v>6.7585000000000006E-2</v>
      </c>
      <c r="E40" s="89">
        <v>7.0583000000000007E-2</v>
      </c>
      <c r="F40" s="89">
        <v>7.7609999999999998E-2</v>
      </c>
      <c r="G40" s="89">
        <v>8.1159999999999996E-2</v>
      </c>
      <c r="H40" s="89">
        <v>8.3296999999999996E-2</v>
      </c>
      <c r="I40" s="89">
        <v>8.4750000000000006E-2</v>
      </c>
      <c r="J40" s="89">
        <v>8.5247000000000003E-2</v>
      </c>
      <c r="K40" s="89">
        <v>8.5585999999999995E-2</v>
      </c>
      <c r="L40" s="89">
        <v>8.5927000000000003E-2</v>
      </c>
      <c r="M40" s="89">
        <v>8.6211999999999997E-2</v>
      </c>
      <c r="N40" s="89">
        <v>8.6701E-2</v>
      </c>
      <c r="O40" s="89">
        <v>8.7409000000000001E-2</v>
      </c>
      <c r="P40" s="89">
        <v>8.8321999999999998E-2</v>
      </c>
      <c r="Q40" s="89">
        <v>8.8946999999999998E-2</v>
      </c>
      <c r="R40" s="89">
        <v>8.9405999999999999E-2</v>
      </c>
      <c r="S40" s="89">
        <v>8.9703000000000005E-2</v>
      </c>
      <c r="T40" s="89">
        <v>8.9957999999999996E-2</v>
      </c>
      <c r="U40" s="89">
        <v>9.0332999999999997E-2</v>
      </c>
      <c r="V40" s="89">
        <v>9.0337000000000001E-2</v>
      </c>
      <c r="W40" s="89">
        <v>8.9776999999999996E-2</v>
      </c>
      <c r="X40" s="89">
        <v>8.9735999999999996E-2</v>
      </c>
      <c r="Y40" s="89">
        <v>8.9990000000000001E-2</v>
      </c>
      <c r="Z40" s="89">
        <v>9.0429999999999996E-2</v>
      </c>
      <c r="AA40" s="89">
        <v>9.0881000000000003E-2</v>
      </c>
      <c r="AB40" s="89">
        <v>9.1381000000000004E-2</v>
      </c>
      <c r="AC40" s="89">
        <v>9.1891E-2</v>
      </c>
      <c r="AD40" s="89">
        <v>9.2424999999999993E-2</v>
      </c>
      <c r="AE40" s="89">
        <v>9.3046000000000004E-2</v>
      </c>
      <c r="AF40" s="88">
        <v>1.0999999999999999E-2</v>
      </c>
    </row>
    <row r="41" spans="1:32" x14ac:dyDescent="0.35">
      <c r="A41" s="97" t="s">
        <v>177</v>
      </c>
      <c r="B41" s="89">
        <v>0.11762</v>
      </c>
      <c r="C41" s="89">
        <v>0.128605</v>
      </c>
      <c r="D41" s="89">
        <v>0.13963600000000001</v>
      </c>
      <c r="E41" s="89">
        <v>0.141012</v>
      </c>
      <c r="F41" s="89">
        <v>0.14074600000000001</v>
      </c>
      <c r="G41" s="89">
        <v>0.14502599999999999</v>
      </c>
      <c r="H41" s="89">
        <v>0.14720800000000001</v>
      </c>
      <c r="I41" s="89">
        <v>0.14823900000000001</v>
      </c>
      <c r="J41" s="89">
        <v>0.150121</v>
      </c>
      <c r="K41" s="89">
        <v>0.15263499999999999</v>
      </c>
      <c r="L41" s="89">
        <v>0.154698</v>
      </c>
      <c r="M41" s="89">
        <v>0.15721399999999999</v>
      </c>
      <c r="N41" s="89">
        <v>0.159636</v>
      </c>
      <c r="O41" s="89">
        <v>0.16148100000000001</v>
      </c>
      <c r="P41" s="89">
        <v>0.163378</v>
      </c>
      <c r="Q41" s="89">
        <v>0.16558100000000001</v>
      </c>
      <c r="R41" s="89">
        <v>0.16749600000000001</v>
      </c>
      <c r="S41" s="89">
        <v>0.169264</v>
      </c>
      <c r="T41" s="89">
        <v>0.17095099999999999</v>
      </c>
      <c r="U41" s="89">
        <v>0.172851</v>
      </c>
      <c r="V41" s="89">
        <v>0.17561599999999999</v>
      </c>
      <c r="W41" s="89">
        <v>0.17893500000000001</v>
      </c>
      <c r="X41" s="89">
        <v>0.18182499999999999</v>
      </c>
      <c r="Y41" s="89">
        <v>0.184894</v>
      </c>
      <c r="Z41" s="89">
        <v>0.187834</v>
      </c>
      <c r="AA41" s="89">
        <v>0.19053400000000001</v>
      </c>
      <c r="AB41" s="89">
        <v>0.19320899999999999</v>
      </c>
      <c r="AC41" s="89">
        <v>0.195716</v>
      </c>
      <c r="AD41" s="89">
        <v>0.19701399999999999</v>
      </c>
      <c r="AE41" s="89">
        <v>0.19758999999999999</v>
      </c>
      <c r="AF41" s="88">
        <v>1.4999999999999999E-2</v>
      </c>
    </row>
    <row r="42" spans="1:32" x14ac:dyDescent="0.35">
      <c r="A42" s="97" t="s">
        <v>176</v>
      </c>
      <c r="B42" s="89">
        <v>0</v>
      </c>
      <c r="C42" s="89">
        <v>0</v>
      </c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 t="s">
        <v>163</v>
      </c>
    </row>
    <row r="43" spans="1:32" x14ac:dyDescent="0.35">
      <c r="A43" s="90" t="s">
        <v>175</v>
      </c>
      <c r="B43" s="89">
        <v>6.0000000000000002E-6</v>
      </c>
      <c r="C43" s="89">
        <v>6.9999999999999999E-6</v>
      </c>
      <c r="D43" s="89">
        <v>2.9E-5</v>
      </c>
      <c r="E43" s="89">
        <v>3.4999999999999997E-5</v>
      </c>
      <c r="F43" s="89">
        <v>4.1E-5</v>
      </c>
      <c r="G43" s="89">
        <v>4.5000000000000003E-5</v>
      </c>
      <c r="H43" s="89">
        <v>4.6999999999999997E-5</v>
      </c>
      <c r="I43" s="89">
        <v>4.6999999999999997E-5</v>
      </c>
      <c r="J43" s="89">
        <v>4.8000000000000001E-5</v>
      </c>
      <c r="K43" s="89">
        <v>4.8999999999999998E-5</v>
      </c>
      <c r="L43" s="89">
        <v>5.5000000000000002E-5</v>
      </c>
      <c r="M43" s="89">
        <v>6.3999999999999997E-5</v>
      </c>
      <c r="N43" s="89">
        <v>7.3999999999999996E-5</v>
      </c>
      <c r="O43" s="89">
        <v>9.5000000000000005E-5</v>
      </c>
      <c r="P43" s="89">
        <v>1.1900000000000001E-4</v>
      </c>
      <c r="Q43" s="89">
        <v>1.4899999999999999E-4</v>
      </c>
      <c r="R43" s="89">
        <v>1.7799999999999999E-4</v>
      </c>
      <c r="S43" s="89">
        <v>2.42E-4</v>
      </c>
      <c r="T43" s="89">
        <v>3.0800000000000001E-4</v>
      </c>
      <c r="U43" s="89">
        <v>3.8499999999999998E-4</v>
      </c>
      <c r="V43" s="89">
        <v>4.6700000000000002E-4</v>
      </c>
      <c r="W43" s="89">
        <v>5.5500000000000005E-4</v>
      </c>
      <c r="X43" s="89">
        <v>6.5899999999999997E-4</v>
      </c>
      <c r="Y43" s="89">
        <v>7.7099999999999998E-4</v>
      </c>
      <c r="Z43" s="89">
        <v>9.0499999999999999E-4</v>
      </c>
      <c r="AA43" s="89">
        <v>1.116E-3</v>
      </c>
      <c r="AB43" s="89">
        <v>1.325E-3</v>
      </c>
      <c r="AC43" s="89">
        <v>1.5449999999999999E-3</v>
      </c>
      <c r="AD43" s="89">
        <v>1.755E-3</v>
      </c>
      <c r="AE43" s="89">
        <v>2.0509999999999999E-3</v>
      </c>
      <c r="AF43" s="88">
        <v>0.22600000000000001</v>
      </c>
    </row>
    <row r="44" spans="1:32" x14ac:dyDescent="0.35">
      <c r="A44" s="90" t="s">
        <v>173</v>
      </c>
      <c r="B44" s="89">
        <v>0.11762599999999999</v>
      </c>
      <c r="C44" s="89">
        <v>0.128612</v>
      </c>
      <c r="D44" s="89">
        <v>0.13966500000000001</v>
      </c>
      <c r="E44" s="89">
        <v>0.14104700000000001</v>
      </c>
      <c r="F44" s="89">
        <v>0.140787</v>
      </c>
      <c r="G44" s="89">
        <v>0.14507100000000001</v>
      </c>
      <c r="H44" s="89">
        <v>0.147254</v>
      </c>
      <c r="I44" s="89">
        <v>0.148286</v>
      </c>
      <c r="J44" s="89">
        <v>0.150168</v>
      </c>
      <c r="K44" s="89">
        <v>0.15268399999999999</v>
      </c>
      <c r="L44" s="89">
        <v>0.154753</v>
      </c>
      <c r="M44" s="89">
        <v>0.157277</v>
      </c>
      <c r="N44" s="89">
        <v>0.15970999999999999</v>
      </c>
      <c r="O44" s="89">
        <v>0.161575</v>
      </c>
      <c r="P44" s="89">
        <v>0.163498</v>
      </c>
      <c r="Q44" s="89">
        <v>0.16572999999999999</v>
      </c>
      <c r="R44" s="89">
        <v>0.16767399999999999</v>
      </c>
      <c r="S44" s="89">
        <v>0.16950599999999999</v>
      </c>
      <c r="T44" s="89">
        <v>0.17126</v>
      </c>
      <c r="U44" s="89">
        <v>0.173237</v>
      </c>
      <c r="V44" s="89">
        <v>0.17608199999999999</v>
      </c>
      <c r="W44" s="89">
        <v>0.17949000000000001</v>
      </c>
      <c r="X44" s="89">
        <v>0.18248400000000001</v>
      </c>
      <c r="Y44" s="89">
        <v>0.185665</v>
      </c>
      <c r="Z44" s="89">
        <v>0.18873899999999999</v>
      </c>
      <c r="AA44" s="89">
        <v>0.19164999999999999</v>
      </c>
      <c r="AB44" s="89">
        <v>0.19453300000000001</v>
      </c>
      <c r="AC44" s="89">
        <v>0.19726099999999999</v>
      </c>
      <c r="AD44" s="89">
        <v>0.19877</v>
      </c>
      <c r="AE44" s="89">
        <v>0.19964100000000001</v>
      </c>
      <c r="AF44" s="88">
        <v>1.6E-2</v>
      </c>
    </row>
    <row r="45" spans="1:32" x14ac:dyDescent="0.35">
      <c r="A45" s="90" t="s">
        <v>172</v>
      </c>
      <c r="B45" s="89">
        <v>0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  <c r="T45" s="89">
        <v>0</v>
      </c>
      <c r="U45" s="89">
        <v>0</v>
      </c>
      <c r="V45" s="89">
        <v>0</v>
      </c>
      <c r="W45" s="89">
        <v>0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0</v>
      </c>
      <c r="AE45" s="89">
        <v>0</v>
      </c>
      <c r="AF45" s="89" t="s">
        <v>163</v>
      </c>
    </row>
    <row r="46" spans="1:32" x14ac:dyDescent="0.35">
      <c r="A46" s="90" t="s">
        <v>203</v>
      </c>
      <c r="B46" s="89">
        <v>2.2100000000000002E-3</v>
      </c>
      <c r="C46" s="89">
        <v>1.98E-3</v>
      </c>
      <c r="D46" s="89">
        <v>1.7830000000000001E-3</v>
      </c>
      <c r="E46" s="89">
        <v>1.81E-3</v>
      </c>
      <c r="F46" s="89">
        <v>1.869E-3</v>
      </c>
      <c r="G46" s="89">
        <v>1.9170000000000001E-3</v>
      </c>
      <c r="H46" s="89">
        <v>1.941E-3</v>
      </c>
      <c r="I46" s="89">
        <v>1.9430000000000001E-3</v>
      </c>
      <c r="J46" s="89">
        <v>1.9449999999999999E-3</v>
      </c>
      <c r="K46" s="89">
        <v>1.949E-3</v>
      </c>
      <c r="L46" s="89">
        <v>1.9550000000000001E-3</v>
      </c>
      <c r="M46" s="89">
        <v>1.9589999999999998E-3</v>
      </c>
      <c r="N46" s="89">
        <v>1.9620000000000002E-3</v>
      </c>
      <c r="O46" s="89">
        <v>1.9620000000000002E-3</v>
      </c>
      <c r="P46" s="89">
        <v>1.9650000000000002E-3</v>
      </c>
      <c r="Q46" s="89">
        <v>1.9680000000000001E-3</v>
      </c>
      <c r="R46" s="89">
        <v>1.964E-3</v>
      </c>
      <c r="S46" s="89">
        <v>1.9559999999999998E-3</v>
      </c>
      <c r="T46" s="89">
        <v>1.9499999999999999E-3</v>
      </c>
      <c r="U46" s="89">
        <v>1.9469999999999999E-3</v>
      </c>
      <c r="V46" s="89">
        <v>1.9430000000000001E-3</v>
      </c>
      <c r="W46" s="89">
        <v>1.9300000000000001E-3</v>
      </c>
      <c r="X46" s="89">
        <v>1.926E-3</v>
      </c>
      <c r="Y46" s="89">
        <v>1.9289999999999999E-3</v>
      </c>
      <c r="Z46" s="89">
        <v>1.933E-3</v>
      </c>
      <c r="AA46" s="89">
        <v>1.9369999999999999E-3</v>
      </c>
      <c r="AB46" s="89">
        <v>1.9430000000000001E-3</v>
      </c>
      <c r="AC46" s="89">
        <v>1.9550000000000001E-3</v>
      </c>
      <c r="AD46" s="89">
        <v>1.9650000000000002E-3</v>
      </c>
      <c r="AE46" s="89">
        <v>1.9780000000000002E-3</v>
      </c>
      <c r="AF46" s="88">
        <v>0</v>
      </c>
    </row>
    <row r="47" spans="1:32" x14ac:dyDescent="0.35">
      <c r="A47" s="90" t="s">
        <v>170</v>
      </c>
      <c r="B47" s="89">
        <v>0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0</v>
      </c>
      <c r="U47" s="89">
        <v>0</v>
      </c>
      <c r="V47" s="89">
        <v>0</v>
      </c>
      <c r="W47" s="89">
        <v>0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  <c r="AC47" s="89">
        <v>0</v>
      </c>
      <c r="AD47" s="89">
        <v>0</v>
      </c>
      <c r="AE47" s="89">
        <v>0</v>
      </c>
      <c r="AF47" s="89" t="s">
        <v>163</v>
      </c>
    </row>
    <row r="48" spans="1:32" x14ac:dyDescent="0.35">
      <c r="A48" s="90" t="s">
        <v>169</v>
      </c>
      <c r="B48" s="89">
        <v>0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0</v>
      </c>
      <c r="V48" s="89">
        <v>0</v>
      </c>
      <c r="W48" s="89">
        <v>0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  <c r="AC48" s="89">
        <v>0</v>
      </c>
      <c r="AD48" s="89">
        <v>0</v>
      </c>
      <c r="AE48" s="89">
        <v>0</v>
      </c>
      <c r="AF48" s="89" t="s">
        <v>163</v>
      </c>
    </row>
    <row r="49" spans="1:32" x14ac:dyDescent="0.35">
      <c r="A49" s="90" t="s">
        <v>168</v>
      </c>
      <c r="B49" s="89">
        <v>2.2100000000000002E-3</v>
      </c>
      <c r="C49" s="89">
        <v>1.98E-3</v>
      </c>
      <c r="D49" s="89">
        <v>1.7830000000000001E-3</v>
      </c>
      <c r="E49" s="89">
        <v>1.81E-3</v>
      </c>
      <c r="F49" s="89">
        <v>1.869E-3</v>
      </c>
      <c r="G49" s="89">
        <v>1.9170000000000001E-3</v>
      </c>
      <c r="H49" s="89">
        <v>1.941E-3</v>
      </c>
      <c r="I49" s="89">
        <v>1.9430000000000001E-3</v>
      </c>
      <c r="J49" s="89">
        <v>1.9449999999999999E-3</v>
      </c>
      <c r="K49" s="89">
        <v>1.949E-3</v>
      </c>
      <c r="L49" s="89">
        <v>1.9550000000000001E-3</v>
      </c>
      <c r="M49" s="89">
        <v>1.9589999999999998E-3</v>
      </c>
      <c r="N49" s="89">
        <v>1.9620000000000002E-3</v>
      </c>
      <c r="O49" s="89">
        <v>1.9620000000000002E-3</v>
      </c>
      <c r="P49" s="89">
        <v>1.9650000000000002E-3</v>
      </c>
      <c r="Q49" s="89">
        <v>1.9680000000000001E-3</v>
      </c>
      <c r="R49" s="89">
        <v>1.964E-3</v>
      </c>
      <c r="S49" s="89">
        <v>1.9559999999999998E-3</v>
      </c>
      <c r="T49" s="89">
        <v>1.9499999999999999E-3</v>
      </c>
      <c r="U49" s="89">
        <v>1.9469999999999999E-3</v>
      </c>
      <c r="V49" s="89">
        <v>1.9430000000000001E-3</v>
      </c>
      <c r="W49" s="89">
        <v>1.9300000000000001E-3</v>
      </c>
      <c r="X49" s="89">
        <v>1.926E-3</v>
      </c>
      <c r="Y49" s="89">
        <v>1.9289999999999999E-3</v>
      </c>
      <c r="Z49" s="89">
        <v>1.933E-3</v>
      </c>
      <c r="AA49" s="89">
        <v>1.9369999999999999E-3</v>
      </c>
      <c r="AB49" s="89">
        <v>1.9430000000000001E-3</v>
      </c>
      <c r="AC49" s="89">
        <v>1.9550000000000001E-3</v>
      </c>
      <c r="AD49" s="89">
        <v>1.9650000000000002E-3</v>
      </c>
      <c r="AE49" s="89">
        <v>1.9780000000000002E-3</v>
      </c>
      <c r="AF49" s="88">
        <v>0</v>
      </c>
    </row>
    <row r="50" spans="1:32" x14ac:dyDescent="0.35">
      <c r="A50" s="90" t="s">
        <v>166</v>
      </c>
      <c r="B50" s="89">
        <v>2.1593000000000001E-2</v>
      </c>
      <c r="C50" s="89">
        <v>2.4239E-2</v>
      </c>
      <c r="D50" s="89">
        <v>2.4708000000000001E-2</v>
      </c>
      <c r="E50" s="89">
        <v>2.2519000000000001E-2</v>
      </c>
      <c r="F50" s="89">
        <v>3.2708000000000001E-2</v>
      </c>
      <c r="G50" s="89">
        <v>3.2721E-2</v>
      </c>
      <c r="H50" s="89">
        <v>3.3097000000000001E-2</v>
      </c>
      <c r="I50" s="89">
        <v>3.3107999999999999E-2</v>
      </c>
      <c r="J50" s="89">
        <v>3.2981999999999997E-2</v>
      </c>
      <c r="K50" s="89">
        <v>3.3051999999999998E-2</v>
      </c>
      <c r="L50" s="89">
        <v>3.2964E-2</v>
      </c>
      <c r="M50" s="89">
        <v>3.3148999999999998E-2</v>
      </c>
      <c r="N50" s="89">
        <v>3.3133999999999997E-2</v>
      </c>
      <c r="O50" s="89">
        <v>3.2901E-2</v>
      </c>
      <c r="P50" s="89">
        <v>3.2647000000000002E-2</v>
      </c>
      <c r="Q50" s="89">
        <v>3.2389000000000001E-2</v>
      </c>
      <c r="R50" s="89">
        <v>3.2160000000000001E-2</v>
      </c>
      <c r="S50" s="89">
        <v>3.1938000000000001E-2</v>
      </c>
      <c r="T50" s="89">
        <v>3.1708E-2</v>
      </c>
      <c r="U50" s="89">
        <v>3.1480000000000001E-2</v>
      </c>
      <c r="V50" s="89">
        <v>3.1294000000000002E-2</v>
      </c>
      <c r="W50" s="89">
        <v>3.1112000000000001E-2</v>
      </c>
      <c r="X50" s="89">
        <v>3.0931E-2</v>
      </c>
      <c r="Y50" s="89">
        <v>3.0775E-2</v>
      </c>
      <c r="Z50" s="89">
        <v>3.0526999999999999E-2</v>
      </c>
      <c r="AA50" s="89">
        <v>3.0345E-2</v>
      </c>
      <c r="AB50" s="89">
        <v>3.0273000000000001E-2</v>
      </c>
      <c r="AC50" s="89">
        <v>3.0188E-2</v>
      </c>
      <c r="AD50" s="89">
        <v>3.0700999999999999E-2</v>
      </c>
      <c r="AE50" s="89">
        <v>3.0835999999999999E-2</v>
      </c>
      <c r="AF50" s="88">
        <v>8.9999999999999993E-3</v>
      </c>
    </row>
    <row r="51" spans="1:32" x14ac:dyDescent="0.35">
      <c r="A51" s="90" t="s">
        <v>202</v>
      </c>
      <c r="B51" s="89">
        <v>8.2422999999999996E-2</v>
      </c>
      <c r="C51" s="89">
        <v>7.8995999999999997E-2</v>
      </c>
      <c r="D51" s="89">
        <v>7.8823000000000004E-2</v>
      </c>
      <c r="E51" s="89">
        <v>8.1430000000000002E-2</v>
      </c>
      <c r="F51" s="89">
        <v>8.5919999999999996E-2</v>
      </c>
      <c r="G51" s="89">
        <v>8.9227000000000001E-2</v>
      </c>
      <c r="H51" s="89">
        <v>9.1430999999999998E-2</v>
      </c>
      <c r="I51" s="89">
        <v>9.3160000000000007E-2</v>
      </c>
      <c r="J51" s="89">
        <v>9.5105999999999996E-2</v>
      </c>
      <c r="K51" s="89">
        <v>9.7381999999999996E-2</v>
      </c>
      <c r="L51" s="89">
        <v>9.9816000000000002E-2</v>
      </c>
      <c r="M51" s="89">
        <v>0.102045</v>
      </c>
      <c r="N51" s="89">
        <v>0.104229</v>
      </c>
      <c r="O51" s="89">
        <v>0.106098</v>
      </c>
      <c r="P51" s="89">
        <v>0.108179</v>
      </c>
      <c r="Q51" s="89">
        <v>0.11047800000000001</v>
      </c>
      <c r="R51" s="89">
        <v>0.11221299999999999</v>
      </c>
      <c r="S51" s="89">
        <v>0.113952</v>
      </c>
      <c r="T51" s="89">
        <v>0.115802</v>
      </c>
      <c r="U51" s="89">
        <v>0.117746</v>
      </c>
      <c r="V51" s="89">
        <v>0.11969200000000001</v>
      </c>
      <c r="W51" s="89">
        <v>0.12112000000000001</v>
      </c>
      <c r="X51" s="89">
        <v>0.122991</v>
      </c>
      <c r="Y51" s="89">
        <v>0.12525700000000001</v>
      </c>
      <c r="Z51" s="89">
        <v>0.127472</v>
      </c>
      <c r="AA51" s="89">
        <v>0.129829</v>
      </c>
      <c r="AB51" s="89">
        <v>0.13207099999999999</v>
      </c>
      <c r="AC51" s="89">
        <v>0.13431999999999999</v>
      </c>
      <c r="AD51" s="89">
        <v>0.136465</v>
      </c>
      <c r="AE51" s="89">
        <v>0.13861999999999999</v>
      </c>
      <c r="AF51" s="88">
        <v>0.02</v>
      </c>
    </row>
    <row r="52" spans="1:32" x14ac:dyDescent="0.35">
      <c r="A52" s="90" t="s">
        <v>194</v>
      </c>
      <c r="B52" s="89">
        <v>9.529E-2</v>
      </c>
      <c r="C52" s="89">
        <v>9.3802999999999997E-2</v>
      </c>
      <c r="D52" s="89">
        <v>9.1403999999999999E-2</v>
      </c>
      <c r="E52" s="89">
        <v>9.4522999999999996E-2</v>
      </c>
      <c r="F52" s="89">
        <v>9.9295999999999995E-2</v>
      </c>
      <c r="G52" s="89">
        <v>0.10341500000000001</v>
      </c>
      <c r="H52" s="89">
        <v>0.106706</v>
      </c>
      <c r="I52" s="89">
        <v>0.108732</v>
      </c>
      <c r="J52" s="89">
        <v>0.10921</v>
      </c>
      <c r="K52" s="89">
        <v>0.11017200000000001</v>
      </c>
      <c r="L52" s="89">
        <v>0.111342</v>
      </c>
      <c r="M52" s="89">
        <v>0.112542</v>
      </c>
      <c r="N52" s="89">
        <v>0.11368</v>
      </c>
      <c r="O52" s="89">
        <v>0.114274</v>
      </c>
      <c r="P52" s="89">
        <v>0.1149</v>
      </c>
      <c r="Q52" s="89">
        <v>0.115342</v>
      </c>
      <c r="R52" s="89">
        <v>0.11543</v>
      </c>
      <c r="S52" s="89">
        <v>0.115227</v>
      </c>
      <c r="T52" s="89">
        <v>0.11477900000000001</v>
      </c>
      <c r="U52" s="89">
        <v>0.114869</v>
      </c>
      <c r="V52" s="89">
        <v>0.115024</v>
      </c>
      <c r="W52" s="89">
        <v>0.11502999999999999</v>
      </c>
      <c r="X52" s="89">
        <v>0.115163</v>
      </c>
      <c r="Y52" s="89">
        <v>0.115374</v>
      </c>
      <c r="Z52" s="89">
        <v>0.11552999999999999</v>
      </c>
      <c r="AA52" s="89">
        <v>0.115838</v>
      </c>
      <c r="AB52" s="89">
        <v>0.11620900000000001</v>
      </c>
      <c r="AC52" s="89">
        <v>0.116664</v>
      </c>
      <c r="AD52" s="89">
        <v>0.11694300000000001</v>
      </c>
      <c r="AE52" s="89">
        <v>0.11731999999999999</v>
      </c>
      <c r="AF52" s="88">
        <v>8.0000000000000002E-3</v>
      </c>
    </row>
    <row r="53" spans="1:32" x14ac:dyDescent="0.35">
      <c r="A53" s="91" t="s">
        <v>193</v>
      </c>
      <c r="B53" s="93">
        <v>0.39485199999999998</v>
      </c>
      <c r="C53" s="93">
        <v>0.39697900000000003</v>
      </c>
      <c r="D53" s="93">
        <v>0.40396700000000002</v>
      </c>
      <c r="E53" s="93">
        <v>0.411912</v>
      </c>
      <c r="F53" s="93">
        <v>0.438189</v>
      </c>
      <c r="G53" s="93">
        <v>0.453511</v>
      </c>
      <c r="H53" s="93">
        <v>0.463727</v>
      </c>
      <c r="I53" s="93">
        <v>0.46998000000000001</v>
      </c>
      <c r="J53" s="93">
        <v>0.47465800000000002</v>
      </c>
      <c r="K53" s="93">
        <v>0.480825</v>
      </c>
      <c r="L53" s="93">
        <v>0.48675600000000002</v>
      </c>
      <c r="M53" s="93">
        <v>0.49318400000000001</v>
      </c>
      <c r="N53" s="93">
        <v>0.49941799999999997</v>
      </c>
      <c r="O53" s="93">
        <v>0.50422</v>
      </c>
      <c r="P53" s="93">
        <v>0.50951000000000002</v>
      </c>
      <c r="Q53" s="93">
        <v>0.51485300000000001</v>
      </c>
      <c r="R53" s="93">
        <v>0.51884799999999998</v>
      </c>
      <c r="S53" s="93">
        <v>0.52228200000000002</v>
      </c>
      <c r="T53" s="93">
        <v>0.52545799999999998</v>
      </c>
      <c r="U53" s="93">
        <v>0.52961199999999997</v>
      </c>
      <c r="V53" s="93">
        <v>0.53437299999999999</v>
      </c>
      <c r="W53" s="93">
        <v>0.53845900000000002</v>
      </c>
      <c r="X53" s="93">
        <v>0.54323200000000005</v>
      </c>
      <c r="Y53" s="93">
        <v>0.54898899999999995</v>
      </c>
      <c r="Z53" s="93">
        <v>0.55463200000000001</v>
      </c>
      <c r="AA53" s="93">
        <v>0.56048100000000001</v>
      </c>
      <c r="AB53" s="93">
        <v>0.56641200000000003</v>
      </c>
      <c r="AC53" s="93">
        <v>0.57227799999999995</v>
      </c>
      <c r="AD53" s="93">
        <v>0.57726900000000003</v>
      </c>
      <c r="AE53" s="93">
        <v>0.58144099999999999</v>
      </c>
      <c r="AF53" s="92">
        <v>1.4E-2</v>
      </c>
    </row>
    <row r="54" spans="1:32" x14ac:dyDescent="0.35">
      <c r="A54" s="97" t="s">
        <v>192</v>
      </c>
      <c r="B54" s="89">
        <v>0.175426</v>
      </c>
      <c r="C54" s="89">
        <v>0.16611899999999999</v>
      </c>
      <c r="D54" s="89">
        <v>0.156835</v>
      </c>
      <c r="E54" s="89">
        <v>0.165991</v>
      </c>
      <c r="F54" s="89">
        <v>0.16949800000000001</v>
      </c>
      <c r="G54" s="89">
        <v>0.179063</v>
      </c>
      <c r="H54" s="89">
        <v>0.18827199999999999</v>
      </c>
      <c r="I54" s="89">
        <v>0.19381799999999999</v>
      </c>
      <c r="J54" s="89">
        <v>0.19547500000000001</v>
      </c>
      <c r="K54" s="89">
        <v>0.19578799999999999</v>
      </c>
      <c r="L54" s="89">
        <v>0.19758700000000001</v>
      </c>
      <c r="M54" s="89">
        <v>0.19580900000000001</v>
      </c>
      <c r="N54" s="89">
        <v>0.19448799999999999</v>
      </c>
      <c r="O54" s="89">
        <v>0.19333800000000001</v>
      </c>
      <c r="P54" s="89">
        <v>0.19355800000000001</v>
      </c>
      <c r="Q54" s="89">
        <v>0.190279</v>
      </c>
      <c r="R54" s="89">
        <v>0.19248799999999999</v>
      </c>
      <c r="S54" s="89">
        <v>0.19547400000000001</v>
      </c>
      <c r="T54" s="89">
        <v>0.19140599999999999</v>
      </c>
      <c r="U54" s="89">
        <v>0.192528</v>
      </c>
      <c r="V54" s="89">
        <v>0.194022</v>
      </c>
      <c r="W54" s="89">
        <v>0.19344</v>
      </c>
      <c r="X54" s="89">
        <v>0.19547</v>
      </c>
      <c r="Y54" s="89">
        <v>0.195936</v>
      </c>
      <c r="Z54" s="89">
        <v>0.19340499999999999</v>
      </c>
      <c r="AA54" s="89">
        <v>0.193719</v>
      </c>
      <c r="AB54" s="89">
        <v>0.193803</v>
      </c>
      <c r="AC54" s="89">
        <v>0.19251399999999999</v>
      </c>
      <c r="AD54" s="89">
        <v>0.19098300000000001</v>
      </c>
      <c r="AE54" s="89">
        <v>0.18814700000000001</v>
      </c>
      <c r="AF54" s="88">
        <v>4.0000000000000001E-3</v>
      </c>
    </row>
    <row r="55" spans="1:32" x14ac:dyDescent="0.35">
      <c r="A55" s="98" t="s">
        <v>160</v>
      </c>
      <c r="B55" s="93">
        <v>0.57027700000000003</v>
      </c>
      <c r="C55" s="93">
        <v>0.56309799999999999</v>
      </c>
      <c r="D55" s="93">
        <v>0.56080200000000002</v>
      </c>
      <c r="E55" s="93">
        <v>0.57790399999999997</v>
      </c>
      <c r="F55" s="93">
        <v>0.60768699999999998</v>
      </c>
      <c r="G55" s="93">
        <v>0.63257399999999997</v>
      </c>
      <c r="H55" s="93">
        <v>0.651999</v>
      </c>
      <c r="I55" s="93">
        <v>0.663798</v>
      </c>
      <c r="J55" s="93">
        <v>0.67013199999999995</v>
      </c>
      <c r="K55" s="93">
        <v>0.67661300000000002</v>
      </c>
      <c r="L55" s="93">
        <v>0.68434300000000003</v>
      </c>
      <c r="M55" s="93">
        <v>0.68899299999999997</v>
      </c>
      <c r="N55" s="93">
        <v>0.69390499999999999</v>
      </c>
      <c r="O55" s="93">
        <v>0.69755800000000001</v>
      </c>
      <c r="P55" s="93">
        <v>0.70306800000000003</v>
      </c>
      <c r="Q55" s="93">
        <v>0.70513199999999998</v>
      </c>
      <c r="R55" s="93">
        <v>0.711337</v>
      </c>
      <c r="S55" s="93">
        <v>0.71775699999999998</v>
      </c>
      <c r="T55" s="93">
        <v>0.71686399999999995</v>
      </c>
      <c r="U55" s="93">
        <v>0.72214</v>
      </c>
      <c r="V55" s="93">
        <v>0.72839500000000001</v>
      </c>
      <c r="W55" s="93">
        <v>0.73189899999999997</v>
      </c>
      <c r="X55" s="93">
        <v>0.73870199999999997</v>
      </c>
      <c r="Y55" s="93">
        <v>0.74492599999999998</v>
      </c>
      <c r="Z55" s="93">
        <v>0.74803699999999995</v>
      </c>
      <c r="AA55" s="93">
        <v>0.75420100000000001</v>
      </c>
      <c r="AB55" s="93">
        <v>0.76021499999999997</v>
      </c>
      <c r="AC55" s="93">
        <v>0.76479299999999995</v>
      </c>
      <c r="AD55" s="93">
        <v>0.76825200000000005</v>
      </c>
      <c r="AE55" s="93">
        <v>0.76958800000000005</v>
      </c>
      <c r="AF55" s="92">
        <v>1.0999999999999999E-2</v>
      </c>
    </row>
    <row r="56" spans="1:32" x14ac:dyDescent="0.35">
      <c r="A56" s="97"/>
    </row>
    <row r="57" spans="1:32" x14ac:dyDescent="0.35">
      <c r="A57" s="97"/>
    </row>
    <row r="58" spans="1:32" x14ac:dyDescent="0.35">
      <c r="A58" s="98" t="s">
        <v>201</v>
      </c>
    </row>
    <row r="59" spans="1:32" x14ac:dyDescent="0.35">
      <c r="A59" s="97" t="s">
        <v>200</v>
      </c>
      <c r="B59" s="89">
        <v>2.0509999999999999E-3</v>
      </c>
      <c r="C59" s="89">
        <v>2.085E-3</v>
      </c>
      <c r="D59" s="89">
        <v>2.0500000000000002E-3</v>
      </c>
      <c r="E59" s="89">
        <v>1.9689999999999998E-3</v>
      </c>
      <c r="F59" s="89">
        <v>1.921E-3</v>
      </c>
      <c r="G59" s="89">
        <v>1.8749999999999999E-3</v>
      </c>
      <c r="H59" s="89">
        <v>1.823E-3</v>
      </c>
      <c r="I59" s="89">
        <v>1.802E-3</v>
      </c>
      <c r="J59" s="89">
        <v>1.794E-3</v>
      </c>
      <c r="K59" s="89">
        <v>1.812E-3</v>
      </c>
      <c r="L59" s="89">
        <v>1.8270000000000001E-3</v>
      </c>
      <c r="M59" s="89">
        <v>1.859E-3</v>
      </c>
      <c r="N59" s="89">
        <v>1.8890000000000001E-3</v>
      </c>
      <c r="O59" s="89">
        <v>1.908E-3</v>
      </c>
      <c r="P59" s="89">
        <v>1.921E-3</v>
      </c>
      <c r="Q59" s="89">
        <v>1.9369999999999999E-3</v>
      </c>
      <c r="R59" s="89">
        <v>1.9719999999999998E-3</v>
      </c>
      <c r="S59" s="89">
        <v>1.9849999999999998E-3</v>
      </c>
      <c r="T59" s="89">
        <v>2.0110000000000002E-3</v>
      </c>
      <c r="U59" s="89">
        <v>2.0379999999999999E-3</v>
      </c>
      <c r="V59" s="89">
        <v>2.0709999999999999E-3</v>
      </c>
      <c r="W59" s="89">
        <v>2.104E-3</v>
      </c>
      <c r="X59" s="89">
        <v>2.1380000000000001E-3</v>
      </c>
      <c r="Y59" s="89">
        <v>2.1670000000000001E-3</v>
      </c>
      <c r="Z59" s="89">
        <v>2.1970000000000002E-3</v>
      </c>
      <c r="AA59" s="89">
        <v>2.238E-3</v>
      </c>
      <c r="AB59" s="89">
        <v>2.281E-3</v>
      </c>
      <c r="AC59" s="89">
        <v>2.3319999999999999E-3</v>
      </c>
      <c r="AD59" s="89">
        <v>2.3909999999999999E-3</v>
      </c>
      <c r="AE59" s="89">
        <v>2.4529999999999999E-3</v>
      </c>
      <c r="AF59" s="88">
        <v>6.0000000000000001E-3</v>
      </c>
    </row>
    <row r="60" spans="1:32" x14ac:dyDescent="0.35">
      <c r="A60" s="97" t="s">
        <v>186</v>
      </c>
      <c r="B60" s="89">
        <v>0.76790999999999998</v>
      </c>
      <c r="C60" s="89">
        <v>0.76601699999999995</v>
      </c>
      <c r="D60" s="89">
        <v>0.76323200000000002</v>
      </c>
      <c r="E60" s="89">
        <v>0.74704000000000004</v>
      </c>
      <c r="F60" s="89">
        <v>0.73328800000000005</v>
      </c>
      <c r="G60" s="89">
        <v>0.724804</v>
      </c>
      <c r="H60" s="89">
        <v>0.71430899999999997</v>
      </c>
      <c r="I60" s="89">
        <v>0.70296400000000003</v>
      </c>
      <c r="J60" s="89">
        <v>0.68946099999999999</v>
      </c>
      <c r="K60" s="89">
        <v>0.67539899999999997</v>
      </c>
      <c r="L60" s="89">
        <v>0.66061599999999998</v>
      </c>
      <c r="M60" s="89">
        <v>0.64542100000000002</v>
      </c>
      <c r="N60" s="89">
        <v>0.62992800000000004</v>
      </c>
      <c r="O60" s="89">
        <v>0.61383399999999999</v>
      </c>
      <c r="P60" s="89">
        <v>0.59733099999999995</v>
      </c>
      <c r="Q60" s="89">
        <v>0.58236900000000003</v>
      </c>
      <c r="R60" s="89">
        <v>0.56884400000000002</v>
      </c>
      <c r="S60" s="89">
        <v>0.55701199999999995</v>
      </c>
      <c r="T60" s="89">
        <v>0.54632800000000004</v>
      </c>
      <c r="U60" s="89">
        <v>0.53673800000000005</v>
      </c>
      <c r="V60" s="89">
        <v>0.52838200000000002</v>
      </c>
      <c r="W60" s="89">
        <v>0.52097199999999999</v>
      </c>
      <c r="X60" s="89">
        <v>0.51441700000000001</v>
      </c>
      <c r="Y60" s="89">
        <v>0.50817800000000002</v>
      </c>
      <c r="Z60" s="89">
        <v>0.50249200000000005</v>
      </c>
      <c r="AA60" s="89">
        <v>0.49935299999999999</v>
      </c>
      <c r="AB60" s="89">
        <v>0.49798300000000001</v>
      </c>
      <c r="AC60" s="89">
        <v>0.49715399999999998</v>
      </c>
      <c r="AD60" s="89">
        <v>0.496639</v>
      </c>
      <c r="AE60" s="89">
        <v>0.49615500000000001</v>
      </c>
      <c r="AF60" s="88">
        <v>-1.4999999999999999E-2</v>
      </c>
    </row>
    <row r="61" spans="1:32" x14ac:dyDescent="0.35">
      <c r="A61" s="97" t="s">
        <v>185</v>
      </c>
      <c r="B61" s="89">
        <v>6.0000000000000002E-5</v>
      </c>
      <c r="C61" s="89">
        <v>2.9E-4</v>
      </c>
      <c r="D61" s="89">
        <v>2.9799999999999998E-4</v>
      </c>
      <c r="E61" s="89">
        <v>3.2699999999999998E-4</v>
      </c>
      <c r="F61" s="89">
        <v>9.7E-5</v>
      </c>
      <c r="G61" s="89">
        <v>1.011E-3</v>
      </c>
      <c r="H61" s="89">
        <v>1.0529999999999999E-3</v>
      </c>
      <c r="I61" s="89">
        <v>2.176E-3</v>
      </c>
      <c r="J61" s="89">
        <v>3.7850000000000002E-3</v>
      </c>
      <c r="K61" s="89">
        <v>4.8549999999999999E-3</v>
      </c>
      <c r="L61" s="89">
        <v>6.5700000000000003E-3</v>
      </c>
      <c r="M61" s="89">
        <v>8.94E-3</v>
      </c>
      <c r="N61" s="89">
        <v>1.021E-2</v>
      </c>
      <c r="O61" s="89">
        <v>1.1721000000000001E-2</v>
      </c>
      <c r="P61" s="89">
        <v>1.3618999999999999E-2</v>
      </c>
      <c r="Q61" s="89">
        <v>1.5438E-2</v>
      </c>
      <c r="R61" s="89">
        <v>1.7197E-2</v>
      </c>
      <c r="S61" s="89">
        <v>1.8579999999999999E-2</v>
      </c>
      <c r="T61" s="89">
        <v>1.9597E-2</v>
      </c>
      <c r="U61" s="89">
        <v>2.0456999999999999E-2</v>
      </c>
      <c r="V61" s="89">
        <v>2.0506E-2</v>
      </c>
      <c r="W61" s="89">
        <v>2.0229E-2</v>
      </c>
      <c r="X61" s="89">
        <v>1.9819E-2</v>
      </c>
      <c r="Y61" s="89">
        <v>1.8925999999999998E-2</v>
      </c>
      <c r="Z61" s="89">
        <v>1.7944999999999999E-2</v>
      </c>
      <c r="AA61" s="89">
        <v>1.6716999999999999E-2</v>
      </c>
      <c r="AB61" s="89">
        <v>1.558E-2</v>
      </c>
      <c r="AC61" s="89">
        <v>1.4423E-2</v>
      </c>
      <c r="AD61" s="89">
        <v>1.3889E-2</v>
      </c>
      <c r="AE61" s="89">
        <v>1.3275E-2</v>
      </c>
      <c r="AF61" s="88">
        <v>0.14599999999999999</v>
      </c>
    </row>
    <row r="62" spans="1:32" x14ac:dyDescent="0.35">
      <c r="A62" s="97" t="s">
        <v>184</v>
      </c>
      <c r="B62" s="89">
        <v>6.6492999999999997E-2</v>
      </c>
      <c r="C62" s="89">
        <v>6.5835000000000005E-2</v>
      </c>
      <c r="D62" s="89">
        <v>6.4382999999999996E-2</v>
      </c>
      <c r="E62" s="89">
        <v>6.4647999999999997E-2</v>
      </c>
      <c r="F62" s="89">
        <v>6.4450999999999994E-2</v>
      </c>
      <c r="G62" s="89">
        <v>6.4388000000000001E-2</v>
      </c>
      <c r="H62" s="89">
        <v>6.4380999999999994E-2</v>
      </c>
      <c r="I62" s="89">
        <v>6.4338000000000006E-2</v>
      </c>
      <c r="J62" s="89">
        <v>6.4272999999999997E-2</v>
      </c>
      <c r="K62" s="89">
        <v>6.4201999999999995E-2</v>
      </c>
      <c r="L62" s="89">
        <v>6.4183000000000004E-2</v>
      </c>
      <c r="M62" s="89">
        <v>6.4151E-2</v>
      </c>
      <c r="N62" s="89">
        <v>6.4090999999999995E-2</v>
      </c>
      <c r="O62" s="89">
        <v>6.4119999999999996E-2</v>
      </c>
      <c r="P62" s="89">
        <v>6.4227000000000006E-2</v>
      </c>
      <c r="Q62" s="89">
        <v>6.4285999999999996E-2</v>
      </c>
      <c r="R62" s="89">
        <v>6.4339999999999994E-2</v>
      </c>
      <c r="S62" s="89">
        <v>6.4401E-2</v>
      </c>
      <c r="T62" s="89">
        <v>6.4419000000000004E-2</v>
      </c>
      <c r="U62" s="89">
        <v>6.4431000000000002E-2</v>
      </c>
      <c r="V62" s="89">
        <v>6.4459000000000002E-2</v>
      </c>
      <c r="W62" s="89">
        <v>6.4455999999999999E-2</v>
      </c>
      <c r="X62" s="89">
        <v>6.4422999999999994E-2</v>
      </c>
      <c r="Y62" s="89">
        <v>6.4382999999999996E-2</v>
      </c>
      <c r="Z62" s="89">
        <v>6.4307000000000003E-2</v>
      </c>
      <c r="AA62" s="89">
        <v>6.4283999999999994E-2</v>
      </c>
      <c r="AB62" s="89">
        <v>6.429E-2</v>
      </c>
      <c r="AC62" s="89">
        <v>6.4282000000000006E-2</v>
      </c>
      <c r="AD62" s="89">
        <v>6.4245999999999998E-2</v>
      </c>
      <c r="AE62" s="89">
        <v>6.4226000000000005E-2</v>
      </c>
      <c r="AF62" s="88">
        <v>-1E-3</v>
      </c>
    </row>
    <row r="63" spans="1:32" x14ac:dyDescent="0.35">
      <c r="A63" s="97" t="s">
        <v>199</v>
      </c>
      <c r="B63" s="89">
        <v>0.16739999999999999</v>
      </c>
      <c r="C63" s="89">
        <v>0.161331</v>
      </c>
      <c r="D63" s="89">
        <v>0.16589300000000001</v>
      </c>
      <c r="E63" s="89">
        <v>0.168628</v>
      </c>
      <c r="F63" s="89">
        <v>0.17749300000000001</v>
      </c>
      <c r="G63" s="89">
        <v>0.185978</v>
      </c>
      <c r="H63" s="89">
        <v>0.192194</v>
      </c>
      <c r="I63" s="89">
        <v>0.19603300000000001</v>
      </c>
      <c r="J63" s="89">
        <v>0.20030200000000001</v>
      </c>
      <c r="K63" s="89">
        <v>0.20416899999999999</v>
      </c>
      <c r="L63" s="89">
        <v>0.208289</v>
      </c>
      <c r="M63" s="89">
        <v>0.212391</v>
      </c>
      <c r="N63" s="89">
        <v>0.216807</v>
      </c>
      <c r="O63" s="89">
        <v>0.221361</v>
      </c>
      <c r="P63" s="89">
        <v>0.22611200000000001</v>
      </c>
      <c r="Q63" s="89">
        <v>0.230431</v>
      </c>
      <c r="R63" s="89">
        <v>0.23397699999999999</v>
      </c>
      <c r="S63" s="89">
        <v>0.23705100000000001</v>
      </c>
      <c r="T63" s="89">
        <v>0.24060699999999999</v>
      </c>
      <c r="U63" s="89">
        <v>0.244418</v>
      </c>
      <c r="V63" s="89">
        <v>0.248392</v>
      </c>
      <c r="W63" s="89">
        <v>0.25178600000000001</v>
      </c>
      <c r="X63" s="89">
        <v>0.25567200000000001</v>
      </c>
      <c r="Y63" s="89">
        <v>0.26026899999999997</v>
      </c>
      <c r="Z63" s="89">
        <v>0.264519</v>
      </c>
      <c r="AA63" s="89">
        <v>0.26822200000000002</v>
      </c>
      <c r="AB63" s="89">
        <v>0.27203500000000003</v>
      </c>
      <c r="AC63" s="89">
        <v>0.27558199999999999</v>
      </c>
      <c r="AD63" s="89">
        <v>0.279225</v>
      </c>
      <c r="AE63" s="89">
        <v>0.28223599999999999</v>
      </c>
      <c r="AF63" s="88">
        <v>0.02</v>
      </c>
    </row>
    <row r="64" spans="1:32" x14ac:dyDescent="0.35">
      <c r="A64" s="97" t="s">
        <v>181</v>
      </c>
      <c r="B64" s="89">
        <v>5.3699999999999998E-3</v>
      </c>
      <c r="C64" s="89">
        <v>3.986E-3</v>
      </c>
      <c r="D64" s="89">
        <v>3.728E-3</v>
      </c>
      <c r="E64" s="89">
        <v>3.8E-3</v>
      </c>
      <c r="F64" s="89">
        <v>3.8449999999999999E-3</v>
      </c>
      <c r="G64" s="89">
        <v>3.82E-3</v>
      </c>
      <c r="H64" s="89">
        <v>3.8010000000000001E-3</v>
      </c>
      <c r="I64" s="89">
        <v>3.7859999999999999E-3</v>
      </c>
      <c r="J64" s="89">
        <v>3.771E-3</v>
      </c>
      <c r="K64" s="89">
        <v>3.7569999999999999E-3</v>
      </c>
      <c r="L64" s="89">
        <v>3.7439999999999999E-3</v>
      </c>
      <c r="M64" s="89">
        <v>3.7299999999999998E-3</v>
      </c>
      <c r="N64" s="89">
        <v>3.7160000000000001E-3</v>
      </c>
      <c r="O64" s="89">
        <v>3.7100000000000002E-3</v>
      </c>
      <c r="P64" s="89">
        <v>3.7090000000000001E-3</v>
      </c>
      <c r="Q64" s="89">
        <v>3.7069999999999998E-3</v>
      </c>
      <c r="R64" s="89">
        <v>3.7069999999999998E-3</v>
      </c>
      <c r="S64" s="89">
        <v>3.7079999999999999E-3</v>
      </c>
      <c r="T64" s="89">
        <v>3.7079999999999999E-3</v>
      </c>
      <c r="U64" s="89">
        <v>3.7090000000000001E-3</v>
      </c>
      <c r="V64" s="89">
        <v>3.7109999999999999E-3</v>
      </c>
      <c r="W64" s="89">
        <v>3.712E-3</v>
      </c>
      <c r="X64" s="89">
        <v>3.712E-3</v>
      </c>
      <c r="Y64" s="89">
        <v>3.7130000000000002E-3</v>
      </c>
      <c r="Z64" s="89">
        <v>3.712E-3</v>
      </c>
      <c r="AA64" s="89">
        <v>3.712E-3</v>
      </c>
      <c r="AB64" s="89">
        <v>3.7139999999999999E-3</v>
      </c>
      <c r="AC64" s="89">
        <v>3.715E-3</v>
      </c>
      <c r="AD64" s="89">
        <v>3.715E-3</v>
      </c>
      <c r="AE64" s="89">
        <v>3.715E-3</v>
      </c>
      <c r="AF64" s="88">
        <v>-3.0000000000000001E-3</v>
      </c>
    </row>
    <row r="65" spans="1:32" x14ac:dyDescent="0.35">
      <c r="A65" s="97" t="s">
        <v>198</v>
      </c>
      <c r="B65" s="89">
        <v>6.7320000000000001E-3</v>
      </c>
      <c r="C65" s="89">
        <v>6.0060000000000001E-3</v>
      </c>
      <c r="D65" s="89">
        <v>5.7730000000000004E-3</v>
      </c>
      <c r="E65" s="89">
        <v>5.8190000000000004E-3</v>
      </c>
      <c r="F65" s="89">
        <v>5.8479999999999999E-3</v>
      </c>
      <c r="G65" s="89">
        <v>5.8719999999999996E-3</v>
      </c>
      <c r="H65" s="89">
        <v>5.8770000000000003E-3</v>
      </c>
      <c r="I65" s="89">
        <v>5.855E-3</v>
      </c>
      <c r="J65" s="89">
        <v>5.8180000000000003E-3</v>
      </c>
      <c r="K65" s="89">
        <v>5.7819999999999998E-3</v>
      </c>
      <c r="L65" s="89">
        <v>5.7520000000000002E-3</v>
      </c>
      <c r="M65" s="89">
        <v>5.7200000000000003E-3</v>
      </c>
      <c r="N65" s="89">
        <v>5.6870000000000002E-3</v>
      </c>
      <c r="O65" s="89">
        <v>5.6569999999999997E-3</v>
      </c>
      <c r="P65" s="89">
        <v>5.6389999999999999E-3</v>
      </c>
      <c r="Q65" s="89">
        <v>5.6220000000000003E-3</v>
      </c>
      <c r="R65" s="89">
        <v>5.6129999999999999E-3</v>
      </c>
      <c r="S65" s="89">
        <v>5.6030000000000003E-3</v>
      </c>
      <c r="T65" s="89">
        <v>5.587E-3</v>
      </c>
      <c r="U65" s="89">
        <v>5.568E-3</v>
      </c>
      <c r="V65" s="89">
        <v>5.5490000000000001E-3</v>
      </c>
      <c r="W65" s="89">
        <v>5.5269999999999998E-3</v>
      </c>
      <c r="X65" s="89">
        <v>5.5019999999999999E-3</v>
      </c>
      <c r="Y65" s="89">
        <v>5.4790000000000004E-3</v>
      </c>
      <c r="Z65" s="89">
        <v>5.4549999999999998E-3</v>
      </c>
      <c r="AA65" s="89">
        <v>5.4330000000000003E-3</v>
      </c>
      <c r="AB65" s="89">
        <v>5.4149999999999997E-3</v>
      </c>
      <c r="AC65" s="89">
        <v>5.3969999999999999E-3</v>
      </c>
      <c r="AD65" s="89">
        <v>5.378E-3</v>
      </c>
      <c r="AE65" s="89">
        <v>5.3579999999999999E-3</v>
      </c>
      <c r="AF65" s="88">
        <v>-4.0000000000000001E-3</v>
      </c>
    </row>
    <row r="66" spans="1:32" x14ac:dyDescent="0.35">
      <c r="A66" s="97" t="s">
        <v>178</v>
      </c>
      <c r="B66" s="89">
        <v>1.0159560000000001</v>
      </c>
      <c r="C66" s="89">
        <v>1.00526</v>
      </c>
      <c r="D66" s="89">
        <v>1.0050600000000001</v>
      </c>
      <c r="E66" s="89">
        <v>0.99190500000000004</v>
      </c>
      <c r="F66" s="89">
        <v>0.986846</v>
      </c>
      <c r="G66" s="89">
        <v>0.98673699999999998</v>
      </c>
      <c r="H66" s="89">
        <v>0.98238599999999998</v>
      </c>
      <c r="I66" s="89">
        <v>0.97477800000000003</v>
      </c>
      <c r="J66" s="89">
        <v>0.965418</v>
      </c>
      <c r="K66" s="89">
        <v>0.95511999999999997</v>
      </c>
      <c r="L66" s="89">
        <v>0.94440999999999997</v>
      </c>
      <c r="M66" s="89">
        <v>0.93327300000000002</v>
      </c>
      <c r="N66" s="89">
        <v>0.92211799999999999</v>
      </c>
      <c r="O66" s="89">
        <v>0.91059100000000004</v>
      </c>
      <c r="P66" s="89">
        <v>0.89893800000000001</v>
      </c>
      <c r="Q66" s="89">
        <v>0.88835299999999995</v>
      </c>
      <c r="R66" s="89">
        <v>0.87845300000000004</v>
      </c>
      <c r="S66" s="89">
        <v>0.86976100000000001</v>
      </c>
      <c r="T66" s="89">
        <v>0.86266100000000001</v>
      </c>
      <c r="U66" s="89">
        <v>0.85690100000000002</v>
      </c>
      <c r="V66" s="89">
        <v>0.85256299999999996</v>
      </c>
      <c r="W66" s="89">
        <v>0.84855700000000001</v>
      </c>
      <c r="X66" s="89">
        <v>0.84586300000000003</v>
      </c>
      <c r="Y66" s="89">
        <v>0.84418899999999997</v>
      </c>
      <c r="Z66" s="89">
        <v>0.84268200000000004</v>
      </c>
      <c r="AA66" s="89">
        <v>0.84324100000000002</v>
      </c>
      <c r="AB66" s="89">
        <v>0.84571799999999997</v>
      </c>
      <c r="AC66" s="89">
        <v>0.84846200000000005</v>
      </c>
      <c r="AD66" s="89">
        <v>0.85159399999999996</v>
      </c>
      <c r="AE66" s="89">
        <v>0.85414299999999999</v>
      </c>
      <c r="AF66" s="88">
        <v>-6.0000000000000001E-3</v>
      </c>
    </row>
    <row r="67" spans="1:32" x14ac:dyDescent="0.35">
      <c r="A67" s="97" t="s">
        <v>174</v>
      </c>
      <c r="B67" s="89">
        <v>1.4926999999999999E-2</v>
      </c>
      <c r="C67" s="89">
        <v>1.5616E-2</v>
      </c>
      <c r="D67" s="89">
        <v>1.3303000000000001E-2</v>
      </c>
      <c r="E67" s="89">
        <v>1.4354E-2</v>
      </c>
      <c r="F67" s="89">
        <v>1.3499000000000001E-2</v>
      </c>
      <c r="G67" s="89">
        <v>1.3029000000000001E-2</v>
      </c>
      <c r="H67" s="89">
        <v>1.3205E-2</v>
      </c>
      <c r="I67" s="89">
        <v>1.3252999999999999E-2</v>
      </c>
      <c r="J67" s="89">
        <v>1.3270000000000001E-2</v>
      </c>
      <c r="K67" s="89">
        <v>1.3213000000000001E-2</v>
      </c>
      <c r="L67" s="89">
        <v>1.3174E-2</v>
      </c>
      <c r="M67" s="89">
        <v>1.3079E-2</v>
      </c>
      <c r="N67" s="89">
        <v>1.3018E-2</v>
      </c>
      <c r="O67" s="89">
        <v>1.2997999999999999E-2</v>
      </c>
      <c r="P67" s="89">
        <v>1.3006999999999999E-2</v>
      </c>
      <c r="Q67" s="89">
        <v>1.2899000000000001E-2</v>
      </c>
      <c r="R67" s="89">
        <v>1.2725E-2</v>
      </c>
      <c r="S67" s="89">
        <v>1.274E-2</v>
      </c>
      <c r="T67" s="89">
        <v>1.2614999999999999E-2</v>
      </c>
      <c r="U67" s="89">
        <v>1.2704E-2</v>
      </c>
      <c r="V67" s="89">
        <v>1.2805E-2</v>
      </c>
      <c r="W67" s="89">
        <v>1.2991000000000001E-2</v>
      </c>
      <c r="X67" s="89">
        <v>1.3176999999999999E-2</v>
      </c>
      <c r="Y67" s="89">
        <v>1.3311E-2</v>
      </c>
      <c r="Z67" s="89">
        <v>1.3325999999999999E-2</v>
      </c>
      <c r="AA67" s="89">
        <v>1.3351E-2</v>
      </c>
      <c r="AB67" s="89">
        <v>1.3390000000000001E-2</v>
      </c>
      <c r="AC67" s="89">
        <v>1.3410999999999999E-2</v>
      </c>
      <c r="AD67" s="89">
        <v>1.3394E-2</v>
      </c>
      <c r="AE67" s="89">
        <v>1.3296000000000001E-2</v>
      </c>
      <c r="AF67" s="88">
        <v>-6.0000000000000001E-3</v>
      </c>
    </row>
    <row r="68" spans="1:32" x14ac:dyDescent="0.35">
      <c r="A68" s="97" t="s">
        <v>197</v>
      </c>
      <c r="B68" s="89">
        <v>1.562E-3</v>
      </c>
      <c r="C68" s="89">
        <v>1.635E-3</v>
      </c>
      <c r="D68" s="89">
        <v>2.0409999999999998E-3</v>
      </c>
      <c r="E68" s="89">
        <v>2.2309999999999999E-3</v>
      </c>
      <c r="F68" s="89">
        <v>2.3879999999999999E-3</v>
      </c>
      <c r="G68" s="89">
        <v>2.5379999999999999E-3</v>
      </c>
      <c r="H68" s="89">
        <v>2.6589999999999999E-3</v>
      </c>
      <c r="I68" s="89">
        <v>2.774E-3</v>
      </c>
      <c r="J68" s="89">
        <v>2.898E-3</v>
      </c>
      <c r="K68" s="89">
        <v>3.032E-3</v>
      </c>
      <c r="L68" s="89">
        <v>3.2079999999999999E-3</v>
      </c>
      <c r="M68" s="89">
        <v>3.4190000000000002E-3</v>
      </c>
      <c r="N68" s="89">
        <v>3.6419999999999998E-3</v>
      </c>
      <c r="O68" s="89">
        <v>3.9519999999999998E-3</v>
      </c>
      <c r="P68" s="89">
        <v>4.2900000000000004E-3</v>
      </c>
      <c r="Q68" s="89">
        <v>4.6709999999999998E-3</v>
      </c>
      <c r="R68" s="89">
        <v>5.0600000000000003E-3</v>
      </c>
      <c r="S68" s="89">
        <v>5.757E-3</v>
      </c>
      <c r="T68" s="89">
        <v>6.4729999999999996E-3</v>
      </c>
      <c r="U68" s="89">
        <v>7.2909999999999997E-3</v>
      </c>
      <c r="V68" s="89">
        <v>8.1600000000000006E-3</v>
      </c>
      <c r="W68" s="89">
        <v>9.1079999999999998E-3</v>
      </c>
      <c r="X68" s="89">
        <v>1.0189999999999999E-2</v>
      </c>
      <c r="Y68" s="89">
        <v>1.1358999999999999E-2</v>
      </c>
      <c r="Z68" s="89">
        <v>1.2715000000000001E-2</v>
      </c>
      <c r="AA68" s="89">
        <v>1.4782E-2</v>
      </c>
      <c r="AB68" s="89">
        <v>1.6827000000000002E-2</v>
      </c>
      <c r="AC68" s="89">
        <v>1.8981999999999999E-2</v>
      </c>
      <c r="AD68" s="89">
        <v>2.0920000000000001E-2</v>
      </c>
      <c r="AE68" s="89">
        <v>2.3621E-2</v>
      </c>
      <c r="AF68" s="88">
        <v>0.1</v>
      </c>
    </row>
    <row r="69" spans="1:32" x14ac:dyDescent="0.35">
      <c r="A69" s="97" t="s">
        <v>164</v>
      </c>
      <c r="B69" s="89">
        <v>0</v>
      </c>
      <c r="C69" s="89">
        <v>0</v>
      </c>
      <c r="D69" s="89">
        <v>0</v>
      </c>
      <c r="E69" s="89">
        <v>0</v>
      </c>
      <c r="F69" s="89">
        <v>6.9999999999999999E-6</v>
      </c>
      <c r="G69" s="89">
        <v>1.5E-5</v>
      </c>
      <c r="H69" s="89">
        <v>2.0000000000000002E-5</v>
      </c>
      <c r="I69" s="89">
        <v>3.3000000000000003E-5</v>
      </c>
      <c r="J69" s="89">
        <v>4.3999999999999999E-5</v>
      </c>
      <c r="K69" s="89">
        <v>5.5000000000000002E-5</v>
      </c>
      <c r="L69" s="89">
        <v>6.4999999999999994E-5</v>
      </c>
      <c r="M69" s="89">
        <v>7.4999999999999993E-5</v>
      </c>
      <c r="N69" s="89">
        <v>8.2999999999999998E-5</v>
      </c>
      <c r="O69" s="89">
        <v>9.2E-5</v>
      </c>
      <c r="P69" s="89">
        <v>1.01E-4</v>
      </c>
      <c r="Q69" s="89">
        <v>1.0900000000000001E-4</v>
      </c>
      <c r="R69" s="89">
        <v>1.17E-4</v>
      </c>
      <c r="S69" s="89">
        <v>1.25E-4</v>
      </c>
      <c r="T69" s="89">
        <v>1.3200000000000001E-4</v>
      </c>
      <c r="U69" s="89">
        <v>1.3899999999999999E-4</v>
      </c>
      <c r="V69" s="89">
        <v>1.45E-4</v>
      </c>
      <c r="W69" s="89">
        <v>1.5100000000000001E-4</v>
      </c>
      <c r="X69" s="89">
        <v>1.5699999999999999E-4</v>
      </c>
      <c r="Y69" s="89">
        <v>1.6200000000000001E-4</v>
      </c>
      <c r="Z69" s="89">
        <v>1.6699999999999999E-4</v>
      </c>
      <c r="AA69" s="89">
        <v>1.7200000000000001E-4</v>
      </c>
      <c r="AB69" s="89">
        <v>1.7799999999999999E-4</v>
      </c>
      <c r="AC69" s="89">
        <v>1.83E-4</v>
      </c>
      <c r="AD69" s="89">
        <v>1.8900000000000001E-4</v>
      </c>
      <c r="AE69" s="89">
        <v>1.95E-4</v>
      </c>
      <c r="AF69" s="89" t="s">
        <v>163</v>
      </c>
    </row>
    <row r="70" spans="1:32" x14ac:dyDescent="0.35">
      <c r="A70" s="97" t="s">
        <v>194</v>
      </c>
      <c r="B70" s="89">
        <v>8.5099999999999998E-4</v>
      </c>
      <c r="C70" s="89">
        <v>8.9599999999999999E-4</v>
      </c>
      <c r="D70" s="89">
        <v>9.6199999999999996E-4</v>
      </c>
      <c r="E70" s="89">
        <v>1.091E-3</v>
      </c>
      <c r="F70" s="89">
        <v>1.2160000000000001E-3</v>
      </c>
      <c r="G70" s="89">
        <v>1.32E-3</v>
      </c>
      <c r="H70" s="89">
        <v>1.41E-3</v>
      </c>
      <c r="I70" s="89">
        <v>1.4809999999999999E-3</v>
      </c>
      <c r="J70" s="89">
        <v>1.537E-3</v>
      </c>
      <c r="K70" s="89">
        <v>1.5820000000000001E-3</v>
      </c>
      <c r="L70" s="89">
        <v>1.619E-3</v>
      </c>
      <c r="M70" s="89">
        <v>1.6540000000000001E-3</v>
      </c>
      <c r="N70" s="89">
        <v>1.6930000000000001E-3</v>
      </c>
      <c r="O70" s="89">
        <v>1.7420000000000001E-3</v>
      </c>
      <c r="P70" s="89">
        <v>1.8010000000000001E-3</v>
      </c>
      <c r="Q70" s="89">
        <v>1.867E-3</v>
      </c>
      <c r="R70" s="89">
        <v>1.936E-3</v>
      </c>
      <c r="S70" s="89">
        <v>2.0219999999999999E-3</v>
      </c>
      <c r="T70" s="89">
        <v>2.1069999999999999E-3</v>
      </c>
      <c r="U70" s="89">
        <v>2.1979999999999999E-3</v>
      </c>
      <c r="V70" s="89">
        <v>2.2910000000000001E-3</v>
      </c>
      <c r="W70" s="89">
        <v>2.3830000000000001E-3</v>
      </c>
      <c r="X70" s="89">
        <v>2.477E-3</v>
      </c>
      <c r="Y70" s="89">
        <v>2.5669999999999998E-3</v>
      </c>
      <c r="Z70" s="89">
        <v>2.6589999999999999E-3</v>
      </c>
      <c r="AA70" s="89">
        <v>2.7560000000000002E-3</v>
      </c>
      <c r="AB70" s="89">
        <v>2.8579999999999999E-3</v>
      </c>
      <c r="AC70" s="89">
        <v>2.9580000000000001E-3</v>
      </c>
      <c r="AD70" s="89">
        <v>3.0490000000000001E-3</v>
      </c>
      <c r="AE70" s="89">
        <v>3.1380000000000002E-3</v>
      </c>
      <c r="AF70" s="88">
        <v>4.5999999999999999E-2</v>
      </c>
    </row>
    <row r="71" spans="1:32" x14ac:dyDescent="0.35">
      <c r="A71" s="98" t="s">
        <v>193</v>
      </c>
      <c r="B71" s="93">
        <v>1.0332969999999999</v>
      </c>
      <c r="C71" s="93">
        <v>1.023407</v>
      </c>
      <c r="D71" s="93">
        <v>1.0213669999999999</v>
      </c>
      <c r="E71" s="93">
        <v>1.0095810000000001</v>
      </c>
      <c r="F71" s="93">
        <v>1.0039560000000001</v>
      </c>
      <c r="G71" s="93">
        <v>1.003638</v>
      </c>
      <c r="H71" s="93">
        <v>0.99968100000000004</v>
      </c>
      <c r="I71" s="93">
        <v>0.99231999999999998</v>
      </c>
      <c r="J71" s="93">
        <v>0.98316700000000001</v>
      </c>
      <c r="K71" s="93">
        <v>0.973001</v>
      </c>
      <c r="L71" s="93">
        <v>0.96247700000000003</v>
      </c>
      <c r="M71" s="93">
        <v>0.95150000000000001</v>
      </c>
      <c r="N71" s="93">
        <v>0.94055500000000003</v>
      </c>
      <c r="O71" s="93">
        <v>0.92937599999999998</v>
      </c>
      <c r="P71" s="93">
        <v>0.91813699999999998</v>
      </c>
      <c r="Q71" s="93">
        <v>0.90790000000000004</v>
      </c>
      <c r="R71" s="93">
        <v>0.89829099999999995</v>
      </c>
      <c r="S71" s="93">
        <v>0.89040600000000003</v>
      </c>
      <c r="T71" s="93">
        <v>0.883988</v>
      </c>
      <c r="U71" s="93">
        <v>0.87923200000000001</v>
      </c>
      <c r="V71" s="93">
        <v>0.87596499999999999</v>
      </c>
      <c r="W71" s="93">
        <v>0.87319100000000005</v>
      </c>
      <c r="X71" s="93">
        <v>0.871865</v>
      </c>
      <c r="Y71" s="93">
        <v>0.87158800000000003</v>
      </c>
      <c r="Z71" s="93">
        <v>0.87154900000000002</v>
      </c>
      <c r="AA71" s="93">
        <v>0.87430099999999999</v>
      </c>
      <c r="AB71" s="93">
        <v>0.87897099999999995</v>
      </c>
      <c r="AC71" s="93">
        <v>0.883996</v>
      </c>
      <c r="AD71" s="93">
        <v>0.88914599999999999</v>
      </c>
      <c r="AE71" s="93">
        <v>0.89439299999999999</v>
      </c>
      <c r="AF71" s="92">
        <v>-5.0000000000000001E-3</v>
      </c>
    </row>
    <row r="72" spans="1:32" x14ac:dyDescent="0.35">
      <c r="A72" s="97" t="s">
        <v>192</v>
      </c>
      <c r="B72" s="89">
        <v>1.567E-3</v>
      </c>
      <c r="C72" s="89">
        <v>1.586E-3</v>
      </c>
      <c r="D72" s="89">
        <v>1.6509999999999999E-3</v>
      </c>
      <c r="E72" s="89">
        <v>1.916E-3</v>
      </c>
      <c r="F72" s="89">
        <v>2.0760000000000002E-3</v>
      </c>
      <c r="G72" s="89">
        <v>2.2859999999999998E-3</v>
      </c>
      <c r="H72" s="89">
        <v>2.4880000000000002E-3</v>
      </c>
      <c r="I72" s="89">
        <v>2.64E-3</v>
      </c>
      <c r="J72" s="89">
        <v>2.751E-3</v>
      </c>
      <c r="K72" s="89">
        <v>2.8110000000000001E-3</v>
      </c>
      <c r="L72" s="89">
        <v>2.872E-3</v>
      </c>
      <c r="M72" s="89">
        <v>2.8779999999999999E-3</v>
      </c>
      <c r="N72" s="89">
        <v>2.8969999999999998E-3</v>
      </c>
      <c r="O72" s="89">
        <v>2.947E-3</v>
      </c>
      <c r="P72" s="89">
        <v>3.0339999999999998E-3</v>
      </c>
      <c r="Q72" s="89">
        <v>3.081E-3</v>
      </c>
      <c r="R72" s="89">
        <v>3.2290000000000001E-3</v>
      </c>
      <c r="S72" s="89">
        <v>3.4299999999999999E-3</v>
      </c>
      <c r="T72" s="89">
        <v>3.5140000000000002E-3</v>
      </c>
      <c r="U72" s="89">
        <v>3.6840000000000002E-3</v>
      </c>
      <c r="V72" s="89">
        <v>3.8639999999999998E-3</v>
      </c>
      <c r="W72" s="89">
        <v>4.0080000000000003E-3</v>
      </c>
      <c r="X72" s="89">
        <v>4.2040000000000003E-3</v>
      </c>
      <c r="Y72" s="89">
        <v>4.3600000000000002E-3</v>
      </c>
      <c r="Z72" s="89">
        <v>4.4510000000000001E-3</v>
      </c>
      <c r="AA72" s="89">
        <v>4.6080000000000001E-3</v>
      </c>
      <c r="AB72" s="89">
        <v>4.7660000000000003E-3</v>
      </c>
      <c r="AC72" s="89">
        <v>4.8799999999999998E-3</v>
      </c>
      <c r="AD72" s="89">
        <v>4.9800000000000001E-3</v>
      </c>
      <c r="AE72" s="89">
        <v>5.0330000000000001E-3</v>
      </c>
      <c r="AF72" s="88">
        <v>4.2000000000000003E-2</v>
      </c>
    </row>
    <row r="73" spans="1:32" x14ac:dyDescent="0.35">
      <c r="A73" s="98" t="s">
        <v>160</v>
      </c>
      <c r="B73" s="93">
        <v>1.0348630000000001</v>
      </c>
      <c r="C73" s="93">
        <v>1.024993</v>
      </c>
      <c r="D73" s="93">
        <v>1.023018</v>
      </c>
      <c r="E73" s="93">
        <v>1.0114970000000001</v>
      </c>
      <c r="F73" s="93">
        <v>1.006033</v>
      </c>
      <c r="G73" s="93">
        <v>1.005925</v>
      </c>
      <c r="H73" s="93">
        <v>1.0021690000000001</v>
      </c>
      <c r="I73" s="93">
        <v>0.99495999999999996</v>
      </c>
      <c r="J73" s="93">
        <v>0.98591799999999996</v>
      </c>
      <c r="K73" s="93">
        <v>0.97581200000000001</v>
      </c>
      <c r="L73" s="93">
        <v>0.96534900000000001</v>
      </c>
      <c r="M73" s="93">
        <v>0.95437799999999995</v>
      </c>
      <c r="N73" s="93">
        <v>0.94345199999999996</v>
      </c>
      <c r="O73" s="93">
        <v>0.93232300000000001</v>
      </c>
      <c r="P73" s="93">
        <v>0.92117099999999996</v>
      </c>
      <c r="Q73" s="93">
        <v>0.91098100000000004</v>
      </c>
      <c r="R73" s="93">
        <v>0.90151999999999999</v>
      </c>
      <c r="S73" s="93">
        <v>0.89383500000000005</v>
      </c>
      <c r="T73" s="93">
        <v>0.88750300000000004</v>
      </c>
      <c r="U73" s="93">
        <v>0.88291600000000003</v>
      </c>
      <c r="V73" s="93">
        <v>0.87982899999999997</v>
      </c>
      <c r="W73" s="93">
        <v>0.87719800000000003</v>
      </c>
      <c r="X73" s="93">
        <v>0.87606799999999996</v>
      </c>
      <c r="Y73" s="93">
        <v>0.87594799999999995</v>
      </c>
      <c r="Z73" s="93">
        <v>0.87600100000000003</v>
      </c>
      <c r="AA73" s="93">
        <v>0.87890900000000005</v>
      </c>
      <c r="AB73" s="93">
        <v>0.88373599999999997</v>
      </c>
      <c r="AC73" s="93">
        <v>0.888876</v>
      </c>
      <c r="AD73" s="93">
        <v>0.89412599999999998</v>
      </c>
      <c r="AE73" s="93">
        <v>0.89942599999999995</v>
      </c>
      <c r="AF73" s="92">
        <v>-5.0000000000000001E-3</v>
      </c>
    </row>
    <row r="74" spans="1:32" x14ac:dyDescent="0.35">
      <c r="A74" s="97"/>
    </row>
    <row r="75" spans="1:32" x14ac:dyDescent="0.35">
      <c r="A75" s="98" t="s">
        <v>196</v>
      </c>
    </row>
    <row r="76" spans="1:32" x14ac:dyDescent="0.35">
      <c r="A76" s="97" t="s">
        <v>187</v>
      </c>
      <c r="B76" s="89">
        <v>6.2080999999999997E-2</v>
      </c>
      <c r="C76" s="89">
        <v>6.1337000000000003E-2</v>
      </c>
      <c r="D76" s="89">
        <v>6.1490999999999997E-2</v>
      </c>
      <c r="E76" s="89">
        <v>6.1851999999999997E-2</v>
      </c>
      <c r="F76" s="89">
        <v>6.1515E-2</v>
      </c>
      <c r="G76" s="89">
        <v>6.1971999999999999E-2</v>
      </c>
      <c r="H76" s="89">
        <v>6.2345999999999999E-2</v>
      </c>
      <c r="I76" s="89">
        <v>6.2702999999999995E-2</v>
      </c>
      <c r="J76" s="89">
        <v>6.3048999999999994E-2</v>
      </c>
      <c r="K76" s="89">
        <v>6.3357999999999998E-2</v>
      </c>
      <c r="L76" s="89">
        <v>6.3584000000000002E-2</v>
      </c>
      <c r="M76" s="89">
        <v>6.3855999999999996E-2</v>
      </c>
      <c r="N76" s="89">
        <v>6.4114000000000004E-2</v>
      </c>
      <c r="O76" s="89">
        <v>6.4310999999999993E-2</v>
      </c>
      <c r="P76" s="89">
        <v>6.4454999999999998E-2</v>
      </c>
      <c r="Q76" s="89">
        <v>6.4549999999999996E-2</v>
      </c>
      <c r="R76" s="89">
        <v>6.4680000000000001E-2</v>
      </c>
      <c r="S76" s="89">
        <v>6.4811999999999995E-2</v>
      </c>
      <c r="T76" s="89">
        <v>6.4868999999999996E-2</v>
      </c>
      <c r="U76" s="89">
        <v>6.4925999999999998E-2</v>
      </c>
      <c r="V76" s="89">
        <v>6.5002000000000004E-2</v>
      </c>
      <c r="W76" s="89">
        <v>6.5072000000000005E-2</v>
      </c>
      <c r="X76" s="89">
        <v>6.5119999999999997E-2</v>
      </c>
      <c r="Y76" s="89">
        <v>6.5109E-2</v>
      </c>
      <c r="Z76" s="89">
        <v>6.5180000000000002E-2</v>
      </c>
      <c r="AA76" s="89">
        <v>6.5249000000000001E-2</v>
      </c>
      <c r="AB76" s="89">
        <v>6.5401000000000001E-2</v>
      </c>
      <c r="AC76" s="89">
        <v>6.5527000000000002E-2</v>
      </c>
      <c r="AD76" s="89">
        <v>6.5627000000000005E-2</v>
      </c>
      <c r="AE76" s="89">
        <v>6.5706000000000001E-2</v>
      </c>
      <c r="AF76" s="88">
        <v>2E-3</v>
      </c>
    </row>
    <row r="77" spans="1:32" x14ac:dyDescent="0.35">
      <c r="A77" s="97" t="s">
        <v>186</v>
      </c>
      <c r="B77" s="89">
        <v>0.78073999999999999</v>
      </c>
      <c r="C77" s="89">
        <v>0.78017199999999998</v>
      </c>
      <c r="D77" s="89">
        <v>0.77709899999999998</v>
      </c>
      <c r="E77" s="89">
        <v>0.76160099999999997</v>
      </c>
      <c r="F77" s="89">
        <v>0.74828099999999997</v>
      </c>
      <c r="G77" s="89">
        <v>0.74031899999999995</v>
      </c>
      <c r="H77" s="89">
        <v>0.73012900000000003</v>
      </c>
      <c r="I77" s="89">
        <v>0.71900600000000003</v>
      </c>
      <c r="J77" s="89">
        <v>0.70557300000000001</v>
      </c>
      <c r="K77" s="89">
        <v>0.69157500000000005</v>
      </c>
      <c r="L77" s="89">
        <v>0.67682600000000004</v>
      </c>
      <c r="M77" s="89">
        <v>0.66169</v>
      </c>
      <c r="N77" s="89">
        <v>0.64626899999999998</v>
      </c>
      <c r="O77" s="89">
        <v>0.63027299999999997</v>
      </c>
      <c r="P77" s="89">
        <v>0.61390699999999998</v>
      </c>
      <c r="Q77" s="89">
        <v>0.59904900000000005</v>
      </c>
      <c r="R77" s="89">
        <v>0.58560900000000005</v>
      </c>
      <c r="S77" s="89">
        <v>0.57386000000000004</v>
      </c>
      <c r="T77" s="89">
        <v>0.56326600000000004</v>
      </c>
      <c r="U77" s="89">
        <v>0.55379</v>
      </c>
      <c r="V77" s="89">
        <v>0.54553200000000002</v>
      </c>
      <c r="W77" s="89">
        <v>0.53822300000000001</v>
      </c>
      <c r="X77" s="89">
        <v>0.53176199999999996</v>
      </c>
      <c r="Y77" s="89">
        <v>0.52563199999999999</v>
      </c>
      <c r="Z77" s="89">
        <v>0.52005000000000001</v>
      </c>
      <c r="AA77" s="89">
        <v>0.51702700000000001</v>
      </c>
      <c r="AB77" s="89">
        <v>0.51576299999999997</v>
      </c>
      <c r="AC77" s="89">
        <v>0.51503100000000002</v>
      </c>
      <c r="AD77" s="89">
        <v>0.51461100000000004</v>
      </c>
      <c r="AE77" s="89">
        <v>0.51421700000000004</v>
      </c>
      <c r="AF77" s="88">
        <v>-1.4999999999999999E-2</v>
      </c>
    </row>
    <row r="78" spans="1:32" x14ac:dyDescent="0.35">
      <c r="A78" s="97" t="s">
        <v>185</v>
      </c>
      <c r="B78" s="89">
        <v>6.0000000000000002E-5</v>
      </c>
      <c r="C78" s="89">
        <v>2.9E-4</v>
      </c>
      <c r="D78" s="89">
        <v>2.9799999999999998E-4</v>
      </c>
      <c r="E78" s="89">
        <v>3.2699999999999998E-4</v>
      </c>
      <c r="F78" s="89">
        <v>9.7E-5</v>
      </c>
      <c r="G78" s="89">
        <v>1.011E-3</v>
      </c>
      <c r="H78" s="89">
        <v>1.0529999999999999E-3</v>
      </c>
      <c r="I78" s="89">
        <v>2.176E-3</v>
      </c>
      <c r="J78" s="89">
        <v>3.7850000000000002E-3</v>
      </c>
      <c r="K78" s="89">
        <v>4.8549999999999999E-3</v>
      </c>
      <c r="L78" s="89">
        <v>6.5700000000000003E-3</v>
      </c>
      <c r="M78" s="89">
        <v>8.94E-3</v>
      </c>
      <c r="N78" s="89">
        <v>1.021E-2</v>
      </c>
      <c r="O78" s="89">
        <v>1.1721000000000001E-2</v>
      </c>
      <c r="P78" s="89">
        <v>1.3618999999999999E-2</v>
      </c>
      <c r="Q78" s="89">
        <v>1.5438E-2</v>
      </c>
      <c r="R78" s="89">
        <v>1.7197E-2</v>
      </c>
      <c r="S78" s="89">
        <v>1.8579999999999999E-2</v>
      </c>
      <c r="T78" s="89">
        <v>1.9597E-2</v>
      </c>
      <c r="U78" s="89">
        <v>2.0456999999999999E-2</v>
      </c>
      <c r="V78" s="89">
        <v>2.0506E-2</v>
      </c>
      <c r="W78" s="89">
        <v>2.0229E-2</v>
      </c>
      <c r="X78" s="89">
        <v>1.9819E-2</v>
      </c>
      <c r="Y78" s="89">
        <v>1.8925999999999998E-2</v>
      </c>
      <c r="Z78" s="89">
        <v>1.7944999999999999E-2</v>
      </c>
      <c r="AA78" s="89">
        <v>1.6716999999999999E-2</v>
      </c>
      <c r="AB78" s="89">
        <v>1.558E-2</v>
      </c>
      <c r="AC78" s="89">
        <v>1.4423E-2</v>
      </c>
      <c r="AD78" s="89">
        <v>1.3889E-2</v>
      </c>
      <c r="AE78" s="89">
        <v>1.3275E-2</v>
      </c>
      <c r="AF78" s="88">
        <v>0.14599999999999999</v>
      </c>
    </row>
    <row r="79" spans="1:32" x14ac:dyDescent="0.35">
      <c r="A79" s="97" t="s">
        <v>184</v>
      </c>
      <c r="B79" s="89">
        <v>6.6492999999999997E-2</v>
      </c>
      <c r="C79" s="89">
        <v>6.5835000000000005E-2</v>
      </c>
      <c r="D79" s="89">
        <v>6.4382999999999996E-2</v>
      </c>
      <c r="E79" s="89">
        <v>6.4647999999999997E-2</v>
      </c>
      <c r="F79" s="89">
        <v>6.4450999999999994E-2</v>
      </c>
      <c r="G79" s="89">
        <v>6.4388000000000001E-2</v>
      </c>
      <c r="H79" s="89">
        <v>6.4380999999999994E-2</v>
      </c>
      <c r="I79" s="89">
        <v>6.4338000000000006E-2</v>
      </c>
      <c r="J79" s="89">
        <v>6.4272999999999997E-2</v>
      </c>
      <c r="K79" s="89">
        <v>6.4201999999999995E-2</v>
      </c>
      <c r="L79" s="89">
        <v>6.4183000000000004E-2</v>
      </c>
      <c r="M79" s="89">
        <v>6.4151E-2</v>
      </c>
      <c r="N79" s="89">
        <v>6.4090999999999995E-2</v>
      </c>
      <c r="O79" s="89">
        <v>6.4119999999999996E-2</v>
      </c>
      <c r="P79" s="89">
        <v>6.4227000000000006E-2</v>
      </c>
      <c r="Q79" s="89">
        <v>6.4285999999999996E-2</v>
      </c>
      <c r="R79" s="89">
        <v>6.4339999999999994E-2</v>
      </c>
      <c r="S79" s="89">
        <v>6.4401E-2</v>
      </c>
      <c r="T79" s="89">
        <v>6.4419000000000004E-2</v>
      </c>
      <c r="U79" s="89">
        <v>6.4431000000000002E-2</v>
      </c>
      <c r="V79" s="89">
        <v>6.4459000000000002E-2</v>
      </c>
      <c r="W79" s="89">
        <v>6.4455999999999999E-2</v>
      </c>
      <c r="X79" s="89">
        <v>6.4422999999999994E-2</v>
      </c>
      <c r="Y79" s="89">
        <v>6.4382999999999996E-2</v>
      </c>
      <c r="Z79" s="89">
        <v>6.4307000000000003E-2</v>
      </c>
      <c r="AA79" s="89">
        <v>6.4283999999999994E-2</v>
      </c>
      <c r="AB79" s="89">
        <v>6.429E-2</v>
      </c>
      <c r="AC79" s="89">
        <v>6.4282000000000006E-2</v>
      </c>
      <c r="AD79" s="89">
        <v>6.4245999999999998E-2</v>
      </c>
      <c r="AE79" s="89">
        <v>6.4226000000000005E-2</v>
      </c>
      <c r="AF79" s="88">
        <v>-1E-3</v>
      </c>
    </row>
    <row r="80" spans="1:32" x14ac:dyDescent="0.35">
      <c r="A80" s="97" t="s">
        <v>183</v>
      </c>
      <c r="B80" s="89">
        <v>5.1900000000000002E-3</v>
      </c>
      <c r="C80" s="89">
        <v>1.583E-3</v>
      </c>
      <c r="D80" s="89">
        <v>1.952E-3</v>
      </c>
      <c r="E80" s="89">
        <v>2.0569999999999998E-3</v>
      </c>
      <c r="F80" s="89">
        <v>1.9380000000000001E-3</v>
      </c>
      <c r="G80" s="89">
        <v>1.9580000000000001E-3</v>
      </c>
      <c r="H80" s="89">
        <v>1.9959999999999999E-3</v>
      </c>
      <c r="I80" s="89">
        <v>2.0460000000000001E-3</v>
      </c>
      <c r="J80" s="89">
        <v>2.0579999999999999E-3</v>
      </c>
      <c r="K80" s="89">
        <v>2.068E-3</v>
      </c>
      <c r="L80" s="89">
        <v>2.0760000000000002E-3</v>
      </c>
      <c r="M80" s="89">
        <v>2.0820000000000001E-3</v>
      </c>
      <c r="N80" s="89">
        <v>2.088E-3</v>
      </c>
      <c r="O80" s="89">
        <v>2.0939999999999999E-3</v>
      </c>
      <c r="P80" s="89">
        <v>2.101E-3</v>
      </c>
      <c r="Q80" s="89">
        <v>2.1080000000000001E-3</v>
      </c>
      <c r="R80" s="89">
        <v>2.114E-3</v>
      </c>
      <c r="S80" s="89">
        <v>2.1210000000000001E-3</v>
      </c>
      <c r="T80" s="89">
        <v>2.127E-3</v>
      </c>
      <c r="U80" s="89">
        <v>2.1329999999999999E-3</v>
      </c>
      <c r="V80" s="89">
        <v>2.1389999999999998E-3</v>
      </c>
      <c r="W80" s="89">
        <v>2.1440000000000001E-3</v>
      </c>
      <c r="X80" s="89">
        <v>2.15E-3</v>
      </c>
      <c r="Y80" s="89">
        <v>2.1549999999999998E-3</v>
      </c>
      <c r="Z80" s="89">
        <v>2.163E-3</v>
      </c>
      <c r="AA80" s="89">
        <v>2.1710000000000002E-3</v>
      </c>
      <c r="AB80" s="89">
        <v>2.1800000000000001E-3</v>
      </c>
      <c r="AC80" s="89">
        <v>2.1879999999999998E-3</v>
      </c>
      <c r="AD80" s="89">
        <v>2.1930000000000001E-3</v>
      </c>
      <c r="AE80" s="89">
        <v>2.1979999999999999E-3</v>
      </c>
      <c r="AF80" s="88">
        <v>1.2E-2</v>
      </c>
    </row>
    <row r="81" spans="1:32" x14ac:dyDescent="0.35">
      <c r="A81" s="97" t="s">
        <v>182</v>
      </c>
      <c r="B81" s="89">
        <v>0.46800000000000003</v>
      </c>
      <c r="C81" s="89">
        <v>0.44575700000000001</v>
      </c>
      <c r="D81" s="89">
        <v>0.463003</v>
      </c>
      <c r="E81" s="89">
        <v>0.47342200000000001</v>
      </c>
      <c r="F81" s="89">
        <v>0.46842400000000001</v>
      </c>
      <c r="G81" s="89">
        <v>0.47534500000000002</v>
      </c>
      <c r="H81" s="89">
        <v>0.478603</v>
      </c>
      <c r="I81" s="89">
        <v>0.47833100000000001</v>
      </c>
      <c r="J81" s="89">
        <v>0.47794300000000001</v>
      </c>
      <c r="K81" s="89">
        <v>0.47695700000000002</v>
      </c>
      <c r="L81" s="89">
        <v>0.47628399999999999</v>
      </c>
      <c r="M81" s="89">
        <v>0.47575899999999999</v>
      </c>
      <c r="N81" s="89">
        <v>0.475881</v>
      </c>
      <c r="O81" s="89">
        <v>0.47646699999999997</v>
      </c>
      <c r="P81" s="89">
        <v>0.47738900000000001</v>
      </c>
      <c r="Q81" s="89">
        <v>0.47797400000000001</v>
      </c>
      <c r="R81" s="89">
        <v>0.47778100000000001</v>
      </c>
      <c r="S81" s="89">
        <v>0.47721000000000002</v>
      </c>
      <c r="T81" s="89">
        <v>0.47722100000000001</v>
      </c>
      <c r="U81" s="89">
        <v>0.477659</v>
      </c>
      <c r="V81" s="89">
        <v>0.47833199999999998</v>
      </c>
      <c r="W81" s="89">
        <v>0.47836899999999999</v>
      </c>
      <c r="X81" s="89">
        <v>0.47911999999999999</v>
      </c>
      <c r="Y81" s="89">
        <v>0.48078199999999999</v>
      </c>
      <c r="Z81" s="89">
        <v>0.48236699999999999</v>
      </c>
      <c r="AA81" s="89">
        <v>0.48352400000000001</v>
      </c>
      <c r="AB81" s="89">
        <v>0.484935</v>
      </c>
      <c r="AC81" s="89">
        <v>0.48620099999999999</v>
      </c>
      <c r="AD81" s="89">
        <v>0.48752899999999999</v>
      </c>
      <c r="AE81" s="89">
        <v>0.48831000000000002</v>
      </c>
      <c r="AF81" s="88">
        <v>3.0000000000000001E-3</v>
      </c>
    </row>
    <row r="82" spans="1:32" x14ac:dyDescent="0.35">
      <c r="A82" s="97" t="s">
        <v>181</v>
      </c>
      <c r="B82" s="89">
        <v>2.147E-2</v>
      </c>
      <c r="C82" s="89">
        <v>1.4474000000000001E-2</v>
      </c>
      <c r="D82" s="89">
        <v>1.391E-2</v>
      </c>
      <c r="E82" s="89">
        <v>2.0743000000000001E-2</v>
      </c>
      <c r="F82" s="89">
        <v>2.2485999999999999E-2</v>
      </c>
      <c r="G82" s="89">
        <v>2.3075999999999999E-2</v>
      </c>
      <c r="H82" s="89">
        <v>2.3639E-2</v>
      </c>
      <c r="I82" s="89">
        <v>2.402E-2</v>
      </c>
      <c r="J82" s="89">
        <v>2.4006E-2</v>
      </c>
      <c r="K82" s="89">
        <v>2.3952999999999999E-2</v>
      </c>
      <c r="L82" s="89">
        <v>2.4060999999999999E-2</v>
      </c>
      <c r="M82" s="89">
        <v>2.4007000000000001E-2</v>
      </c>
      <c r="N82" s="89">
        <v>2.4048E-2</v>
      </c>
      <c r="O82" s="89">
        <v>2.4188999999999999E-2</v>
      </c>
      <c r="P82" s="89">
        <v>2.4372999999999999E-2</v>
      </c>
      <c r="Q82" s="89">
        <v>2.4427000000000001E-2</v>
      </c>
      <c r="R82" s="89">
        <v>2.4473999999999999E-2</v>
      </c>
      <c r="S82" s="89">
        <v>2.4629000000000002E-2</v>
      </c>
      <c r="T82" s="89">
        <v>2.4635000000000001E-2</v>
      </c>
      <c r="U82" s="89">
        <v>2.4725E-2</v>
      </c>
      <c r="V82" s="89">
        <v>2.4608000000000001E-2</v>
      </c>
      <c r="W82" s="89">
        <v>2.4364E-2</v>
      </c>
      <c r="X82" s="89">
        <v>2.4337000000000001E-2</v>
      </c>
      <c r="Y82" s="89">
        <v>2.4337999999999999E-2</v>
      </c>
      <c r="Z82" s="89">
        <v>2.4448000000000001E-2</v>
      </c>
      <c r="AA82" s="89">
        <v>2.4548E-2</v>
      </c>
      <c r="AB82" s="89">
        <v>2.4639000000000001E-2</v>
      </c>
      <c r="AC82" s="89">
        <v>2.477E-2</v>
      </c>
      <c r="AD82" s="89">
        <v>2.4967E-2</v>
      </c>
      <c r="AE82" s="89">
        <v>2.5162E-2</v>
      </c>
      <c r="AF82" s="88">
        <v>0.02</v>
      </c>
    </row>
    <row r="83" spans="1:32" x14ac:dyDescent="0.35">
      <c r="A83" s="97" t="s">
        <v>180</v>
      </c>
      <c r="B83" s="89">
        <v>0</v>
      </c>
      <c r="C83" s="89">
        <v>0</v>
      </c>
      <c r="D83" s="89">
        <v>0</v>
      </c>
      <c r="E83" s="89">
        <v>0</v>
      </c>
      <c r="F83" s="89">
        <v>0</v>
      </c>
      <c r="G83" s="89">
        <v>0</v>
      </c>
      <c r="H83" s="89">
        <v>0</v>
      </c>
      <c r="I83" s="89">
        <v>0</v>
      </c>
      <c r="J83" s="89">
        <v>0</v>
      </c>
      <c r="K83" s="89">
        <v>0</v>
      </c>
      <c r="L83" s="89">
        <v>0</v>
      </c>
      <c r="M83" s="89">
        <v>0</v>
      </c>
      <c r="N83" s="89">
        <v>0</v>
      </c>
      <c r="O83" s="89">
        <v>0</v>
      </c>
      <c r="P83" s="89">
        <v>0</v>
      </c>
      <c r="Q83" s="89">
        <v>0</v>
      </c>
      <c r="R83" s="89">
        <v>0</v>
      </c>
      <c r="S83" s="89">
        <v>0</v>
      </c>
      <c r="T83" s="89">
        <v>0</v>
      </c>
      <c r="U83" s="89">
        <v>0</v>
      </c>
      <c r="V83" s="89">
        <v>0</v>
      </c>
      <c r="W83" s="89">
        <v>0</v>
      </c>
      <c r="X83" s="89">
        <v>0</v>
      </c>
      <c r="Y83" s="89">
        <v>0</v>
      </c>
      <c r="Z83" s="89">
        <v>0</v>
      </c>
      <c r="AA83" s="89">
        <v>0</v>
      </c>
      <c r="AB83" s="89">
        <v>0</v>
      </c>
      <c r="AC83" s="89">
        <v>0</v>
      </c>
      <c r="AD83" s="89">
        <v>0</v>
      </c>
      <c r="AE83" s="89">
        <v>0</v>
      </c>
      <c r="AF83" s="89" t="s">
        <v>163</v>
      </c>
    </row>
    <row r="84" spans="1:32" x14ac:dyDescent="0.35">
      <c r="A84" s="97" t="s">
        <v>179</v>
      </c>
      <c r="B84" s="89">
        <v>3.0041999999999999E-2</v>
      </c>
      <c r="C84" s="89">
        <v>2.8579E-2</v>
      </c>
      <c r="D84" s="89">
        <v>2.6939999999999999E-2</v>
      </c>
      <c r="E84" s="89">
        <v>2.7782999999999999E-2</v>
      </c>
      <c r="F84" s="89">
        <v>3.1025E-2</v>
      </c>
      <c r="G84" s="89">
        <v>3.2636999999999999E-2</v>
      </c>
      <c r="H84" s="89">
        <v>3.3493000000000002E-2</v>
      </c>
      <c r="I84" s="89">
        <v>3.4035999999999997E-2</v>
      </c>
      <c r="J84" s="89">
        <v>3.4119999999999998E-2</v>
      </c>
      <c r="K84" s="89">
        <v>3.4144000000000001E-2</v>
      </c>
      <c r="L84" s="89">
        <v>3.4141999999999999E-2</v>
      </c>
      <c r="M84" s="89">
        <v>3.4120999999999999E-2</v>
      </c>
      <c r="N84" s="89">
        <v>3.4221000000000001E-2</v>
      </c>
      <c r="O84" s="89">
        <v>3.4440999999999999E-2</v>
      </c>
      <c r="P84" s="89">
        <v>3.4789E-2</v>
      </c>
      <c r="Q84" s="89">
        <v>3.5059E-2</v>
      </c>
      <c r="R84" s="89">
        <v>3.5220000000000001E-2</v>
      </c>
      <c r="S84" s="89">
        <v>3.5235000000000002E-2</v>
      </c>
      <c r="T84" s="89">
        <v>3.5313999999999998E-2</v>
      </c>
      <c r="U84" s="89">
        <v>3.5439999999999999E-2</v>
      </c>
      <c r="V84" s="89">
        <v>3.5476000000000001E-2</v>
      </c>
      <c r="W84" s="89">
        <v>3.5234000000000001E-2</v>
      </c>
      <c r="X84" s="89">
        <v>3.524E-2</v>
      </c>
      <c r="Y84" s="89">
        <v>3.5435000000000001E-2</v>
      </c>
      <c r="Z84" s="89">
        <v>3.5681999999999998E-2</v>
      </c>
      <c r="AA84" s="89">
        <v>3.5936999999999997E-2</v>
      </c>
      <c r="AB84" s="89">
        <v>3.6188999999999999E-2</v>
      </c>
      <c r="AC84" s="89">
        <v>3.6462000000000001E-2</v>
      </c>
      <c r="AD84" s="89">
        <v>3.669E-2</v>
      </c>
      <c r="AE84" s="89">
        <v>3.6992999999999998E-2</v>
      </c>
      <c r="AF84" s="88">
        <v>8.9999999999999993E-3</v>
      </c>
    </row>
    <row r="85" spans="1:32" x14ac:dyDescent="0.35">
      <c r="A85" s="97" t="s">
        <v>178</v>
      </c>
      <c r="B85" s="89">
        <v>1.434016</v>
      </c>
      <c r="C85" s="89">
        <v>1.3977379999999999</v>
      </c>
      <c r="D85" s="89">
        <v>1.408779</v>
      </c>
      <c r="E85" s="89">
        <v>1.4121060000000001</v>
      </c>
      <c r="F85" s="89">
        <v>1.39812</v>
      </c>
      <c r="G85" s="89">
        <v>1.3996949999999999</v>
      </c>
      <c r="H85" s="89">
        <v>1.394587</v>
      </c>
      <c r="I85" s="89">
        <v>1.384479</v>
      </c>
      <c r="J85" s="89">
        <v>1.371022</v>
      </c>
      <c r="K85" s="89">
        <v>1.356258</v>
      </c>
      <c r="L85" s="89">
        <v>1.3411550000000001</v>
      </c>
      <c r="M85" s="89">
        <v>1.3256680000000001</v>
      </c>
      <c r="N85" s="89">
        <v>1.3107120000000001</v>
      </c>
      <c r="O85" s="89">
        <v>1.2958959999999999</v>
      </c>
      <c r="P85" s="89">
        <v>1.2812399999999999</v>
      </c>
      <c r="Q85" s="89">
        <v>1.2674540000000001</v>
      </c>
      <c r="R85" s="89">
        <v>1.2542180000000001</v>
      </c>
      <c r="S85" s="89">
        <v>1.2422690000000001</v>
      </c>
      <c r="T85" s="89">
        <v>1.2318519999999999</v>
      </c>
      <c r="U85" s="89">
        <v>1.2231030000000001</v>
      </c>
      <c r="V85" s="89">
        <v>1.2155480000000001</v>
      </c>
      <c r="W85" s="89">
        <v>1.207862</v>
      </c>
      <c r="X85" s="89">
        <v>1.2021500000000001</v>
      </c>
      <c r="Y85" s="89">
        <v>1.197835</v>
      </c>
      <c r="Z85" s="89">
        <v>1.1941980000000001</v>
      </c>
      <c r="AA85" s="89">
        <v>1.192739</v>
      </c>
      <c r="AB85" s="89">
        <v>1.193397</v>
      </c>
      <c r="AC85" s="89">
        <v>1.1944600000000001</v>
      </c>
      <c r="AD85" s="89">
        <v>1.1958629999999999</v>
      </c>
      <c r="AE85" s="89">
        <v>1.1968129999999999</v>
      </c>
      <c r="AF85" s="88">
        <v>-6.0000000000000001E-3</v>
      </c>
    </row>
    <row r="86" spans="1:32" x14ac:dyDescent="0.35">
      <c r="A86" s="97" t="s">
        <v>177</v>
      </c>
      <c r="B86" s="89">
        <v>0.48639199999999999</v>
      </c>
      <c r="C86" s="89">
        <v>0.46590700000000002</v>
      </c>
      <c r="D86" s="89">
        <v>0.53013600000000005</v>
      </c>
      <c r="E86" s="89">
        <v>0.54458300000000004</v>
      </c>
      <c r="F86" s="89">
        <v>0.531555</v>
      </c>
      <c r="G86" s="89">
        <v>0.53878999999999999</v>
      </c>
      <c r="H86" s="89">
        <v>0.54373700000000003</v>
      </c>
      <c r="I86" s="89">
        <v>0.54644000000000004</v>
      </c>
      <c r="J86" s="89">
        <v>0.55000400000000005</v>
      </c>
      <c r="K86" s="89">
        <v>0.55437400000000003</v>
      </c>
      <c r="L86" s="89">
        <v>0.55765299999999995</v>
      </c>
      <c r="M86" s="89">
        <v>0.56130100000000005</v>
      </c>
      <c r="N86" s="89">
        <v>0.56498400000000004</v>
      </c>
      <c r="O86" s="89">
        <v>0.56791599999999998</v>
      </c>
      <c r="P86" s="89">
        <v>0.57035800000000003</v>
      </c>
      <c r="Q86" s="89">
        <v>0.57315400000000005</v>
      </c>
      <c r="R86" s="89">
        <v>0.57565299999999997</v>
      </c>
      <c r="S86" s="89">
        <v>0.57850400000000002</v>
      </c>
      <c r="T86" s="89">
        <v>0.58096000000000003</v>
      </c>
      <c r="U86" s="89">
        <v>0.58382800000000001</v>
      </c>
      <c r="V86" s="89">
        <v>0.58883700000000005</v>
      </c>
      <c r="W86" s="89">
        <v>0.59602999999999995</v>
      </c>
      <c r="X86" s="89">
        <v>0.60321999999999998</v>
      </c>
      <c r="Y86" s="89">
        <v>0.61000200000000004</v>
      </c>
      <c r="Z86" s="89">
        <v>0.61652099999999999</v>
      </c>
      <c r="AA86" s="89">
        <v>0.62313799999999997</v>
      </c>
      <c r="AB86" s="89">
        <v>0.62980199999999997</v>
      </c>
      <c r="AC86" s="89">
        <v>0.63666100000000003</v>
      </c>
      <c r="AD86" s="89">
        <v>0.64132199999999995</v>
      </c>
      <c r="AE86" s="89">
        <v>0.64566299999999999</v>
      </c>
      <c r="AF86" s="88">
        <v>1.2E-2</v>
      </c>
    </row>
    <row r="87" spans="1:32" x14ac:dyDescent="0.35">
      <c r="A87" s="97" t="s">
        <v>176</v>
      </c>
      <c r="B87" s="89">
        <v>0</v>
      </c>
      <c r="C87" s="89">
        <v>0</v>
      </c>
      <c r="D87" s="89">
        <v>0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89">
        <v>0</v>
      </c>
      <c r="N87" s="89">
        <v>0</v>
      </c>
      <c r="O87" s="89">
        <v>0</v>
      </c>
      <c r="P87" s="89">
        <v>0</v>
      </c>
      <c r="Q87" s="89">
        <v>0</v>
      </c>
      <c r="R87" s="89">
        <v>0</v>
      </c>
      <c r="S87" s="89">
        <v>0</v>
      </c>
      <c r="T87" s="89">
        <v>0</v>
      </c>
      <c r="U87" s="89">
        <v>0</v>
      </c>
      <c r="V87" s="89">
        <v>0</v>
      </c>
      <c r="W87" s="89">
        <v>0</v>
      </c>
      <c r="X87" s="89">
        <v>0</v>
      </c>
      <c r="Y87" s="89">
        <v>0</v>
      </c>
      <c r="Z87" s="89">
        <v>0</v>
      </c>
      <c r="AA87" s="89">
        <v>0</v>
      </c>
      <c r="AB87" s="89">
        <v>0</v>
      </c>
      <c r="AC87" s="89">
        <v>0</v>
      </c>
      <c r="AD87" s="89">
        <v>0</v>
      </c>
      <c r="AE87" s="89">
        <v>0</v>
      </c>
      <c r="AF87" s="89" t="s">
        <v>163</v>
      </c>
    </row>
    <row r="88" spans="1:32" x14ac:dyDescent="0.35">
      <c r="A88" s="97" t="s">
        <v>175</v>
      </c>
      <c r="B88" s="89">
        <v>6.0000000000000002E-6</v>
      </c>
      <c r="C88" s="89">
        <v>6.9999999999999999E-6</v>
      </c>
      <c r="D88" s="89">
        <v>2.9E-5</v>
      </c>
      <c r="E88" s="89">
        <v>3.4999999999999997E-5</v>
      </c>
      <c r="F88" s="89">
        <v>4.1E-5</v>
      </c>
      <c r="G88" s="89">
        <v>4.5000000000000003E-5</v>
      </c>
      <c r="H88" s="89">
        <v>4.6999999999999997E-5</v>
      </c>
      <c r="I88" s="89">
        <v>4.6999999999999997E-5</v>
      </c>
      <c r="J88" s="89">
        <v>4.8000000000000001E-5</v>
      </c>
      <c r="K88" s="89">
        <v>4.8999999999999998E-5</v>
      </c>
      <c r="L88" s="89">
        <v>5.5000000000000002E-5</v>
      </c>
      <c r="M88" s="89">
        <v>6.3999999999999997E-5</v>
      </c>
      <c r="N88" s="89">
        <v>7.3999999999999996E-5</v>
      </c>
      <c r="O88" s="89">
        <v>9.5000000000000005E-5</v>
      </c>
      <c r="P88" s="89">
        <v>1.1900000000000001E-4</v>
      </c>
      <c r="Q88" s="89">
        <v>1.4899999999999999E-4</v>
      </c>
      <c r="R88" s="89">
        <v>1.7799999999999999E-4</v>
      </c>
      <c r="S88" s="89">
        <v>2.42E-4</v>
      </c>
      <c r="T88" s="89">
        <v>3.0800000000000001E-4</v>
      </c>
      <c r="U88" s="89">
        <v>3.8499999999999998E-4</v>
      </c>
      <c r="V88" s="89">
        <v>4.6700000000000002E-4</v>
      </c>
      <c r="W88" s="89">
        <v>5.5500000000000005E-4</v>
      </c>
      <c r="X88" s="89">
        <v>6.5899999999999997E-4</v>
      </c>
      <c r="Y88" s="89">
        <v>7.7099999999999998E-4</v>
      </c>
      <c r="Z88" s="89">
        <v>9.0499999999999999E-4</v>
      </c>
      <c r="AA88" s="89">
        <v>1.116E-3</v>
      </c>
      <c r="AB88" s="89">
        <v>1.325E-3</v>
      </c>
      <c r="AC88" s="89">
        <v>1.5449999999999999E-3</v>
      </c>
      <c r="AD88" s="89">
        <v>1.755E-3</v>
      </c>
      <c r="AE88" s="89">
        <v>2.0509999999999999E-3</v>
      </c>
      <c r="AF88" s="88">
        <v>0.22600000000000001</v>
      </c>
    </row>
    <row r="89" spans="1:32" x14ac:dyDescent="0.35">
      <c r="A89" s="97" t="s">
        <v>174</v>
      </c>
      <c r="B89" s="89">
        <v>1.4926999999999999E-2</v>
      </c>
      <c r="C89" s="89">
        <v>1.5616E-2</v>
      </c>
      <c r="D89" s="89">
        <v>1.3303000000000001E-2</v>
      </c>
      <c r="E89" s="89">
        <v>1.4354E-2</v>
      </c>
      <c r="F89" s="89">
        <v>1.3499000000000001E-2</v>
      </c>
      <c r="G89" s="89">
        <v>1.3029000000000001E-2</v>
      </c>
      <c r="H89" s="89">
        <v>1.3205E-2</v>
      </c>
      <c r="I89" s="89">
        <v>1.3252999999999999E-2</v>
      </c>
      <c r="J89" s="89">
        <v>1.3270000000000001E-2</v>
      </c>
      <c r="K89" s="89">
        <v>1.3213000000000001E-2</v>
      </c>
      <c r="L89" s="89">
        <v>1.3174E-2</v>
      </c>
      <c r="M89" s="89">
        <v>1.3079E-2</v>
      </c>
      <c r="N89" s="89">
        <v>1.3018E-2</v>
      </c>
      <c r="O89" s="89">
        <v>1.2997999999999999E-2</v>
      </c>
      <c r="P89" s="89">
        <v>1.3006999999999999E-2</v>
      </c>
      <c r="Q89" s="89">
        <v>1.2899000000000001E-2</v>
      </c>
      <c r="R89" s="89">
        <v>1.2725E-2</v>
      </c>
      <c r="S89" s="89">
        <v>1.274E-2</v>
      </c>
      <c r="T89" s="89">
        <v>1.2614999999999999E-2</v>
      </c>
      <c r="U89" s="89">
        <v>1.2704E-2</v>
      </c>
      <c r="V89" s="89">
        <v>1.2805E-2</v>
      </c>
      <c r="W89" s="89">
        <v>1.2991000000000001E-2</v>
      </c>
      <c r="X89" s="89">
        <v>1.3176999999999999E-2</v>
      </c>
      <c r="Y89" s="89">
        <v>1.3311E-2</v>
      </c>
      <c r="Z89" s="89">
        <v>1.3325999999999999E-2</v>
      </c>
      <c r="AA89" s="89">
        <v>1.3351E-2</v>
      </c>
      <c r="AB89" s="89">
        <v>1.3390000000000001E-2</v>
      </c>
      <c r="AC89" s="89">
        <v>1.3410999999999999E-2</v>
      </c>
      <c r="AD89" s="89">
        <v>1.3394E-2</v>
      </c>
      <c r="AE89" s="89">
        <v>1.3296000000000001E-2</v>
      </c>
      <c r="AF89" s="88">
        <v>-6.0000000000000001E-3</v>
      </c>
    </row>
    <row r="90" spans="1:32" x14ac:dyDescent="0.35">
      <c r="A90" s="97" t="s">
        <v>173</v>
      </c>
      <c r="B90" s="89">
        <v>0.50132500000000002</v>
      </c>
      <c r="C90" s="89">
        <v>0.48153000000000001</v>
      </c>
      <c r="D90" s="89">
        <v>0.54346700000000003</v>
      </c>
      <c r="E90" s="89">
        <v>0.55897200000000002</v>
      </c>
      <c r="F90" s="89">
        <v>0.54509399999999997</v>
      </c>
      <c r="G90" s="89">
        <v>0.55186400000000002</v>
      </c>
      <c r="H90" s="89">
        <v>0.55698899999999996</v>
      </c>
      <c r="I90" s="89">
        <v>0.55974000000000002</v>
      </c>
      <c r="J90" s="89">
        <v>0.56332199999999999</v>
      </c>
      <c r="K90" s="89">
        <v>0.56763600000000003</v>
      </c>
      <c r="L90" s="89">
        <v>0.570882</v>
      </c>
      <c r="M90" s="89">
        <v>0.57444399999999995</v>
      </c>
      <c r="N90" s="89">
        <v>0.57807600000000003</v>
      </c>
      <c r="O90" s="89">
        <v>0.581009</v>
      </c>
      <c r="P90" s="89">
        <v>0.583484</v>
      </c>
      <c r="Q90" s="89">
        <v>0.586202</v>
      </c>
      <c r="R90" s="89">
        <v>0.58855599999999997</v>
      </c>
      <c r="S90" s="89">
        <v>0.59148699999999999</v>
      </c>
      <c r="T90" s="89">
        <v>0.59388300000000005</v>
      </c>
      <c r="U90" s="89">
        <v>0.59691700000000003</v>
      </c>
      <c r="V90" s="89">
        <v>0.60210900000000001</v>
      </c>
      <c r="W90" s="89">
        <v>0.60957600000000001</v>
      </c>
      <c r="X90" s="89">
        <v>0.61705600000000005</v>
      </c>
      <c r="Y90" s="89">
        <v>0.624085</v>
      </c>
      <c r="Z90" s="89">
        <v>0.63075300000000001</v>
      </c>
      <c r="AA90" s="89">
        <v>0.63760600000000001</v>
      </c>
      <c r="AB90" s="89">
        <v>0.64451599999999998</v>
      </c>
      <c r="AC90" s="89">
        <v>0.651617</v>
      </c>
      <c r="AD90" s="89">
        <v>0.65647200000000006</v>
      </c>
      <c r="AE90" s="89">
        <v>0.66100999999999999</v>
      </c>
      <c r="AF90" s="88">
        <v>1.0999999999999999E-2</v>
      </c>
    </row>
    <row r="91" spans="1:32" x14ac:dyDescent="0.35">
      <c r="A91" s="97" t="s">
        <v>172</v>
      </c>
      <c r="B91" s="89">
        <v>0</v>
      </c>
      <c r="C91" s="89">
        <v>0</v>
      </c>
      <c r="D91" s="89">
        <v>0</v>
      </c>
      <c r="E91" s="89">
        <v>0</v>
      </c>
      <c r="F91" s="89">
        <v>0</v>
      </c>
      <c r="G91" s="89">
        <v>0</v>
      </c>
      <c r="H91" s="89">
        <v>0</v>
      </c>
      <c r="I91" s="89">
        <v>0</v>
      </c>
      <c r="J91" s="89">
        <v>0</v>
      </c>
      <c r="K91" s="89">
        <v>0</v>
      </c>
      <c r="L91" s="89">
        <v>0</v>
      </c>
      <c r="M91" s="89">
        <v>0</v>
      </c>
      <c r="N91" s="89">
        <v>0</v>
      </c>
      <c r="O91" s="89">
        <v>0</v>
      </c>
      <c r="P91" s="89">
        <v>0</v>
      </c>
      <c r="Q91" s="89">
        <v>0</v>
      </c>
      <c r="R91" s="89">
        <v>0</v>
      </c>
      <c r="S91" s="89">
        <v>0</v>
      </c>
      <c r="T91" s="89">
        <v>0</v>
      </c>
      <c r="U91" s="89">
        <v>0</v>
      </c>
      <c r="V91" s="89">
        <v>0</v>
      </c>
      <c r="W91" s="89">
        <v>0</v>
      </c>
      <c r="X91" s="89">
        <v>0</v>
      </c>
      <c r="Y91" s="89">
        <v>0</v>
      </c>
      <c r="Z91" s="89">
        <v>0</v>
      </c>
      <c r="AA91" s="89">
        <v>0</v>
      </c>
      <c r="AB91" s="89">
        <v>0</v>
      </c>
      <c r="AC91" s="89">
        <v>0</v>
      </c>
      <c r="AD91" s="89">
        <v>0</v>
      </c>
      <c r="AE91" s="89">
        <v>0</v>
      </c>
      <c r="AF91" s="89" t="s">
        <v>163</v>
      </c>
    </row>
    <row r="92" spans="1:32" x14ac:dyDescent="0.35">
      <c r="A92" s="97" t="s">
        <v>171</v>
      </c>
      <c r="B92" s="89">
        <v>2.2100000000000002E-3</v>
      </c>
      <c r="C92" s="89">
        <v>1.98E-3</v>
      </c>
      <c r="D92" s="89">
        <v>1.7830000000000001E-3</v>
      </c>
      <c r="E92" s="89">
        <v>1.81E-3</v>
      </c>
      <c r="F92" s="89">
        <v>1.869E-3</v>
      </c>
      <c r="G92" s="89">
        <v>1.9170000000000001E-3</v>
      </c>
      <c r="H92" s="89">
        <v>1.941E-3</v>
      </c>
      <c r="I92" s="89">
        <v>1.9430000000000001E-3</v>
      </c>
      <c r="J92" s="89">
        <v>1.9449999999999999E-3</v>
      </c>
      <c r="K92" s="89">
        <v>1.949E-3</v>
      </c>
      <c r="L92" s="89">
        <v>1.9550000000000001E-3</v>
      </c>
      <c r="M92" s="89">
        <v>1.9589999999999998E-3</v>
      </c>
      <c r="N92" s="89">
        <v>1.9620000000000002E-3</v>
      </c>
      <c r="O92" s="89">
        <v>1.9620000000000002E-3</v>
      </c>
      <c r="P92" s="89">
        <v>1.9650000000000002E-3</v>
      </c>
      <c r="Q92" s="89">
        <v>1.9680000000000001E-3</v>
      </c>
      <c r="R92" s="89">
        <v>1.964E-3</v>
      </c>
      <c r="S92" s="89">
        <v>1.9559999999999998E-3</v>
      </c>
      <c r="T92" s="89">
        <v>1.9499999999999999E-3</v>
      </c>
      <c r="U92" s="89">
        <v>1.9469999999999999E-3</v>
      </c>
      <c r="V92" s="89">
        <v>1.9430000000000001E-3</v>
      </c>
      <c r="W92" s="89">
        <v>1.9300000000000001E-3</v>
      </c>
      <c r="X92" s="89">
        <v>1.926E-3</v>
      </c>
      <c r="Y92" s="89">
        <v>1.9289999999999999E-3</v>
      </c>
      <c r="Z92" s="89">
        <v>1.933E-3</v>
      </c>
      <c r="AA92" s="89">
        <v>1.9369999999999999E-3</v>
      </c>
      <c r="AB92" s="89">
        <v>1.9430000000000001E-3</v>
      </c>
      <c r="AC92" s="89">
        <v>1.9550000000000001E-3</v>
      </c>
      <c r="AD92" s="89">
        <v>1.9650000000000002E-3</v>
      </c>
      <c r="AE92" s="89">
        <v>1.9780000000000002E-3</v>
      </c>
      <c r="AF92" s="88">
        <v>0</v>
      </c>
    </row>
    <row r="93" spans="1:32" x14ac:dyDescent="0.35">
      <c r="A93" s="97" t="s">
        <v>170</v>
      </c>
      <c r="B93" s="89">
        <v>0</v>
      </c>
      <c r="C93" s="89">
        <v>0</v>
      </c>
      <c r="D93" s="89">
        <v>0</v>
      </c>
      <c r="E93" s="89">
        <v>0</v>
      </c>
      <c r="F93" s="89">
        <v>0</v>
      </c>
      <c r="G93" s="89">
        <v>0</v>
      </c>
      <c r="H93" s="89">
        <v>0</v>
      </c>
      <c r="I93" s="89">
        <v>0</v>
      </c>
      <c r="J93" s="89">
        <v>0</v>
      </c>
      <c r="K93" s="89">
        <v>0</v>
      </c>
      <c r="L93" s="89">
        <v>0</v>
      </c>
      <c r="M93" s="89">
        <v>0</v>
      </c>
      <c r="N93" s="89">
        <v>0</v>
      </c>
      <c r="O93" s="89">
        <v>0</v>
      </c>
      <c r="P93" s="89">
        <v>0</v>
      </c>
      <c r="Q93" s="89">
        <v>0</v>
      </c>
      <c r="R93" s="89">
        <v>0</v>
      </c>
      <c r="S93" s="89">
        <v>0</v>
      </c>
      <c r="T93" s="89">
        <v>0</v>
      </c>
      <c r="U93" s="89">
        <v>0</v>
      </c>
      <c r="V93" s="89">
        <v>0</v>
      </c>
      <c r="W93" s="89">
        <v>0</v>
      </c>
      <c r="X93" s="89">
        <v>0</v>
      </c>
      <c r="Y93" s="89">
        <v>0</v>
      </c>
      <c r="Z93" s="89">
        <v>0</v>
      </c>
      <c r="AA93" s="89">
        <v>0</v>
      </c>
      <c r="AB93" s="89">
        <v>0</v>
      </c>
      <c r="AC93" s="89">
        <v>0</v>
      </c>
      <c r="AD93" s="89">
        <v>0</v>
      </c>
      <c r="AE93" s="89">
        <v>0</v>
      </c>
      <c r="AF93" s="89" t="s">
        <v>163</v>
      </c>
    </row>
    <row r="94" spans="1:32" x14ac:dyDescent="0.35">
      <c r="A94" s="97" t="s">
        <v>169</v>
      </c>
      <c r="B94" s="89">
        <v>0</v>
      </c>
      <c r="C94" s="89">
        <v>0</v>
      </c>
      <c r="D94" s="89">
        <v>0</v>
      </c>
      <c r="E94" s="89">
        <v>0</v>
      </c>
      <c r="F94" s="89">
        <v>0</v>
      </c>
      <c r="G94" s="89">
        <v>0</v>
      </c>
      <c r="H94" s="89">
        <v>0</v>
      </c>
      <c r="I94" s="89">
        <v>0</v>
      </c>
      <c r="J94" s="89">
        <v>0</v>
      </c>
      <c r="K94" s="89">
        <v>0</v>
      </c>
      <c r="L94" s="89">
        <v>0</v>
      </c>
      <c r="M94" s="89">
        <v>0</v>
      </c>
      <c r="N94" s="89">
        <v>0</v>
      </c>
      <c r="O94" s="89">
        <v>0</v>
      </c>
      <c r="P94" s="89">
        <v>0</v>
      </c>
      <c r="Q94" s="89">
        <v>0</v>
      </c>
      <c r="R94" s="89">
        <v>0</v>
      </c>
      <c r="S94" s="89">
        <v>0</v>
      </c>
      <c r="T94" s="89">
        <v>0</v>
      </c>
      <c r="U94" s="89">
        <v>0</v>
      </c>
      <c r="V94" s="89">
        <v>0</v>
      </c>
      <c r="W94" s="89">
        <v>0</v>
      </c>
      <c r="X94" s="89">
        <v>0</v>
      </c>
      <c r="Y94" s="89">
        <v>0</v>
      </c>
      <c r="Z94" s="89">
        <v>0</v>
      </c>
      <c r="AA94" s="89">
        <v>0</v>
      </c>
      <c r="AB94" s="89">
        <v>0</v>
      </c>
      <c r="AC94" s="89">
        <v>0</v>
      </c>
      <c r="AD94" s="89">
        <v>0</v>
      </c>
      <c r="AE94" s="89">
        <v>0</v>
      </c>
      <c r="AF94" s="89" t="s">
        <v>163</v>
      </c>
    </row>
    <row r="95" spans="1:32" x14ac:dyDescent="0.35">
      <c r="A95" s="97" t="s">
        <v>168</v>
      </c>
      <c r="B95" s="89">
        <v>2.2100000000000002E-3</v>
      </c>
      <c r="C95" s="89">
        <v>1.98E-3</v>
      </c>
      <c r="D95" s="89">
        <v>1.7830000000000001E-3</v>
      </c>
      <c r="E95" s="89">
        <v>1.81E-3</v>
      </c>
      <c r="F95" s="89">
        <v>1.869E-3</v>
      </c>
      <c r="G95" s="89">
        <v>1.9170000000000001E-3</v>
      </c>
      <c r="H95" s="89">
        <v>1.941E-3</v>
      </c>
      <c r="I95" s="89">
        <v>1.9430000000000001E-3</v>
      </c>
      <c r="J95" s="89">
        <v>1.9449999999999999E-3</v>
      </c>
      <c r="K95" s="89">
        <v>1.949E-3</v>
      </c>
      <c r="L95" s="89">
        <v>1.9550000000000001E-3</v>
      </c>
      <c r="M95" s="89">
        <v>1.9589999999999998E-3</v>
      </c>
      <c r="N95" s="89">
        <v>1.9620000000000002E-3</v>
      </c>
      <c r="O95" s="89">
        <v>1.9620000000000002E-3</v>
      </c>
      <c r="P95" s="89">
        <v>1.9650000000000002E-3</v>
      </c>
      <c r="Q95" s="89">
        <v>1.9680000000000001E-3</v>
      </c>
      <c r="R95" s="89">
        <v>1.964E-3</v>
      </c>
      <c r="S95" s="89">
        <v>1.9559999999999998E-3</v>
      </c>
      <c r="T95" s="89">
        <v>1.9499999999999999E-3</v>
      </c>
      <c r="U95" s="89">
        <v>1.9469999999999999E-3</v>
      </c>
      <c r="V95" s="89">
        <v>1.9430000000000001E-3</v>
      </c>
      <c r="W95" s="89">
        <v>1.9300000000000001E-3</v>
      </c>
      <c r="X95" s="89">
        <v>1.926E-3</v>
      </c>
      <c r="Y95" s="89">
        <v>1.9289999999999999E-3</v>
      </c>
      <c r="Z95" s="89">
        <v>1.933E-3</v>
      </c>
      <c r="AA95" s="89">
        <v>1.9369999999999999E-3</v>
      </c>
      <c r="AB95" s="89">
        <v>1.9430000000000001E-3</v>
      </c>
      <c r="AC95" s="89">
        <v>1.9550000000000001E-3</v>
      </c>
      <c r="AD95" s="89">
        <v>1.9650000000000002E-3</v>
      </c>
      <c r="AE95" s="89">
        <v>1.9780000000000002E-3</v>
      </c>
      <c r="AF95" s="88">
        <v>0</v>
      </c>
    </row>
    <row r="96" spans="1:32" x14ac:dyDescent="0.35">
      <c r="A96" s="97" t="s">
        <v>166</v>
      </c>
      <c r="B96" s="89">
        <v>2.1593000000000001E-2</v>
      </c>
      <c r="C96" s="89">
        <v>2.4239E-2</v>
      </c>
      <c r="D96" s="89">
        <v>2.4708000000000001E-2</v>
      </c>
      <c r="E96" s="89">
        <v>2.2519000000000001E-2</v>
      </c>
      <c r="F96" s="89">
        <v>3.2708000000000001E-2</v>
      </c>
      <c r="G96" s="89">
        <v>3.2721E-2</v>
      </c>
      <c r="H96" s="89">
        <v>3.3097000000000001E-2</v>
      </c>
      <c r="I96" s="89">
        <v>3.3107999999999999E-2</v>
      </c>
      <c r="J96" s="89">
        <v>3.2981999999999997E-2</v>
      </c>
      <c r="K96" s="89">
        <v>3.3051999999999998E-2</v>
      </c>
      <c r="L96" s="89">
        <v>3.2964E-2</v>
      </c>
      <c r="M96" s="89">
        <v>3.3148999999999998E-2</v>
      </c>
      <c r="N96" s="89">
        <v>3.3133999999999997E-2</v>
      </c>
      <c r="O96" s="89">
        <v>3.2901E-2</v>
      </c>
      <c r="P96" s="89">
        <v>3.2647000000000002E-2</v>
      </c>
      <c r="Q96" s="89">
        <v>3.2389000000000001E-2</v>
      </c>
      <c r="R96" s="89">
        <v>3.2160000000000001E-2</v>
      </c>
      <c r="S96" s="89">
        <v>3.1938000000000001E-2</v>
      </c>
      <c r="T96" s="89">
        <v>3.1708E-2</v>
      </c>
      <c r="U96" s="89">
        <v>3.1480000000000001E-2</v>
      </c>
      <c r="V96" s="89">
        <v>3.1294000000000002E-2</v>
      </c>
      <c r="W96" s="89">
        <v>3.1112000000000001E-2</v>
      </c>
      <c r="X96" s="89">
        <v>3.0931E-2</v>
      </c>
      <c r="Y96" s="89">
        <v>3.0775E-2</v>
      </c>
      <c r="Z96" s="89">
        <v>3.0526999999999999E-2</v>
      </c>
      <c r="AA96" s="89">
        <v>3.0345E-2</v>
      </c>
      <c r="AB96" s="89">
        <v>3.0273000000000001E-2</v>
      </c>
      <c r="AC96" s="89">
        <v>3.0188E-2</v>
      </c>
      <c r="AD96" s="89">
        <v>3.0700999999999999E-2</v>
      </c>
      <c r="AE96" s="89">
        <v>3.0835999999999999E-2</v>
      </c>
      <c r="AF96" s="88">
        <v>8.9999999999999993E-3</v>
      </c>
    </row>
    <row r="97" spans="1:32" x14ac:dyDescent="0.35">
      <c r="A97" s="97" t="s">
        <v>195</v>
      </c>
      <c r="B97" s="89">
        <v>0.13710900000000001</v>
      </c>
      <c r="C97" s="89">
        <v>0.12979099999999999</v>
      </c>
      <c r="D97" s="89">
        <v>0.13953399999999999</v>
      </c>
      <c r="E97" s="89">
        <v>0.14228499999999999</v>
      </c>
      <c r="F97" s="89">
        <v>0.14205599999999999</v>
      </c>
      <c r="G97" s="89">
        <v>0.14408899999999999</v>
      </c>
      <c r="H97" s="89">
        <v>0.14540400000000001</v>
      </c>
      <c r="I97" s="89">
        <v>0.14663999999999999</v>
      </c>
      <c r="J97" s="89">
        <v>0.14843600000000001</v>
      </c>
      <c r="K97" s="89">
        <v>0.150703</v>
      </c>
      <c r="L97" s="89">
        <v>0.153146</v>
      </c>
      <c r="M97" s="89">
        <v>0.15537899999999999</v>
      </c>
      <c r="N97" s="89">
        <v>0.15754199999999999</v>
      </c>
      <c r="O97" s="89">
        <v>0.15936700000000001</v>
      </c>
      <c r="P97" s="89">
        <v>0.16137399999999999</v>
      </c>
      <c r="Q97" s="89">
        <v>0.16353699999999999</v>
      </c>
      <c r="R97" s="89">
        <v>0.16514699999999999</v>
      </c>
      <c r="S97" s="89">
        <v>0.166711</v>
      </c>
      <c r="T97" s="89">
        <v>0.168379</v>
      </c>
      <c r="U97" s="89">
        <v>0.17010900000000001</v>
      </c>
      <c r="V97" s="89">
        <v>0.17185600000000001</v>
      </c>
      <c r="W97" s="89">
        <v>0.173092</v>
      </c>
      <c r="X97" s="89">
        <v>0.17479900000000001</v>
      </c>
      <c r="Y97" s="89">
        <v>0.176923</v>
      </c>
      <c r="Z97" s="89">
        <v>0.178948</v>
      </c>
      <c r="AA97" s="89">
        <v>0.18107300000000001</v>
      </c>
      <c r="AB97" s="89">
        <v>0.183087</v>
      </c>
      <c r="AC97" s="89">
        <v>0.185113</v>
      </c>
      <c r="AD97" s="89">
        <v>0.187057</v>
      </c>
      <c r="AE97" s="89">
        <v>0.189055</v>
      </c>
      <c r="AF97" s="88">
        <v>1.4E-2</v>
      </c>
    </row>
    <row r="98" spans="1:32" x14ac:dyDescent="0.35">
      <c r="A98" s="97" t="s">
        <v>164</v>
      </c>
      <c r="B98" s="89">
        <v>0</v>
      </c>
      <c r="C98" s="89">
        <v>0</v>
      </c>
      <c r="D98" s="89">
        <v>0</v>
      </c>
      <c r="E98" s="89">
        <v>0</v>
      </c>
      <c r="F98" s="89">
        <v>6.9999999999999999E-6</v>
      </c>
      <c r="G98" s="89">
        <v>1.5E-5</v>
      </c>
      <c r="H98" s="89">
        <v>2.0000000000000002E-5</v>
      </c>
      <c r="I98" s="89">
        <v>3.3000000000000003E-5</v>
      </c>
      <c r="J98" s="89">
        <v>4.3999999999999999E-5</v>
      </c>
      <c r="K98" s="89">
        <v>5.5000000000000002E-5</v>
      </c>
      <c r="L98" s="89">
        <v>6.4999999999999994E-5</v>
      </c>
      <c r="M98" s="89">
        <v>7.4999999999999993E-5</v>
      </c>
      <c r="N98" s="89">
        <v>8.2999999999999998E-5</v>
      </c>
      <c r="O98" s="89">
        <v>9.2E-5</v>
      </c>
      <c r="P98" s="89">
        <v>1.01E-4</v>
      </c>
      <c r="Q98" s="89">
        <v>1.0900000000000001E-4</v>
      </c>
      <c r="R98" s="89">
        <v>1.17E-4</v>
      </c>
      <c r="S98" s="89">
        <v>1.25E-4</v>
      </c>
      <c r="T98" s="89">
        <v>1.3200000000000001E-4</v>
      </c>
      <c r="U98" s="89">
        <v>1.3899999999999999E-4</v>
      </c>
      <c r="V98" s="89">
        <v>1.45E-4</v>
      </c>
      <c r="W98" s="89">
        <v>1.5100000000000001E-4</v>
      </c>
      <c r="X98" s="89">
        <v>1.5699999999999999E-4</v>
      </c>
      <c r="Y98" s="89">
        <v>1.6200000000000001E-4</v>
      </c>
      <c r="Z98" s="89">
        <v>1.6699999999999999E-4</v>
      </c>
      <c r="AA98" s="89">
        <v>1.7200000000000001E-4</v>
      </c>
      <c r="AB98" s="89">
        <v>1.7799999999999999E-4</v>
      </c>
      <c r="AC98" s="89">
        <v>1.83E-4</v>
      </c>
      <c r="AD98" s="89">
        <v>1.8900000000000001E-4</v>
      </c>
      <c r="AE98" s="89">
        <v>1.95E-4</v>
      </c>
      <c r="AF98" s="89" t="s">
        <v>163</v>
      </c>
    </row>
    <row r="99" spans="1:32" x14ac:dyDescent="0.35">
      <c r="A99" s="97" t="s">
        <v>194</v>
      </c>
      <c r="B99" s="89">
        <v>0.41174100000000002</v>
      </c>
      <c r="C99" s="89">
        <v>0.40276000000000001</v>
      </c>
      <c r="D99" s="89">
        <v>0.40473799999999999</v>
      </c>
      <c r="E99" s="89">
        <v>0.401395</v>
      </c>
      <c r="F99" s="89">
        <v>0.40801999999999999</v>
      </c>
      <c r="G99" s="89">
        <v>0.41310400000000003</v>
      </c>
      <c r="H99" s="89">
        <v>0.41808899999999999</v>
      </c>
      <c r="I99" s="89">
        <v>0.4214</v>
      </c>
      <c r="J99" s="89">
        <v>0.42286600000000002</v>
      </c>
      <c r="K99" s="89">
        <v>0.42191800000000002</v>
      </c>
      <c r="L99" s="89">
        <v>0.42297299999999999</v>
      </c>
      <c r="M99" s="89">
        <v>0.42440699999999998</v>
      </c>
      <c r="N99" s="89">
        <v>0.42616599999999999</v>
      </c>
      <c r="O99" s="89">
        <v>0.42705500000000002</v>
      </c>
      <c r="P99" s="89">
        <v>0.42815700000000001</v>
      </c>
      <c r="Q99" s="89">
        <v>0.42920199999999997</v>
      </c>
      <c r="R99" s="89">
        <v>0.42970399999999997</v>
      </c>
      <c r="S99" s="89">
        <v>0.42992799999999998</v>
      </c>
      <c r="T99" s="89">
        <v>0.43005900000000002</v>
      </c>
      <c r="U99" s="89">
        <v>0.429871</v>
      </c>
      <c r="V99" s="89">
        <v>0.43006299999999997</v>
      </c>
      <c r="W99" s="89">
        <v>0.43067699999999998</v>
      </c>
      <c r="X99" s="89">
        <v>0.431923</v>
      </c>
      <c r="Y99" s="89">
        <v>0.43310500000000002</v>
      </c>
      <c r="Z99" s="89">
        <v>0.43403799999999998</v>
      </c>
      <c r="AA99" s="89">
        <v>0.435168</v>
      </c>
      <c r="AB99" s="89">
        <v>0.43631700000000001</v>
      </c>
      <c r="AC99" s="89">
        <v>0.43759500000000001</v>
      </c>
      <c r="AD99" s="89">
        <v>0.43839299999999998</v>
      </c>
      <c r="AE99" s="89">
        <v>0.438919</v>
      </c>
      <c r="AF99" s="88">
        <v>3.0000000000000001E-3</v>
      </c>
    </row>
    <row r="100" spans="1:32" x14ac:dyDescent="0.35">
      <c r="A100" s="98" t="s">
        <v>193</v>
      </c>
      <c r="B100" s="93">
        <v>2.5079950000000002</v>
      </c>
      <c r="C100" s="93">
        <v>2.4380380000000001</v>
      </c>
      <c r="D100" s="93">
        <v>2.5230100000000002</v>
      </c>
      <c r="E100" s="93">
        <v>2.5390869999999999</v>
      </c>
      <c r="F100" s="93">
        <v>2.5278749999999999</v>
      </c>
      <c r="G100" s="93">
        <v>2.5434049999999999</v>
      </c>
      <c r="H100" s="93">
        <v>2.5501269999999998</v>
      </c>
      <c r="I100" s="93">
        <v>2.5473430000000001</v>
      </c>
      <c r="J100" s="93">
        <v>2.540616</v>
      </c>
      <c r="K100" s="93">
        <v>2.5315699999999999</v>
      </c>
      <c r="L100" s="93">
        <v>2.523139</v>
      </c>
      <c r="M100" s="93">
        <v>2.5150800000000002</v>
      </c>
      <c r="N100" s="93">
        <v>2.507676</v>
      </c>
      <c r="O100" s="93">
        <v>2.4982839999999999</v>
      </c>
      <c r="P100" s="93">
        <v>2.4889670000000002</v>
      </c>
      <c r="Q100" s="93">
        <v>2.4808599999999998</v>
      </c>
      <c r="R100" s="93">
        <v>2.4718659999999999</v>
      </c>
      <c r="S100" s="93">
        <v>2.4644140000000001</v>
      </c>
      <c r="T100" s="93">
        <v>2.4579629999999999</v>
      </c>
      <c r="U100" s="93">
        <v>2.4535659999999999</v>
      </c>
      <c r="V100" s="93">
        <v>2.4529589999999999</v>
      </c>
      <c r="W100" s="93">
        <v>2.4544009999999998</v>
      </c>
      <c r="X100" s="93">
        <v>2.458942</v>
      </c>
      <c r="Y100" s="93">
        <v>2.4648129999999999</v>
      </c>
      <c r="Z100" s="93">
        <v>2.470564</v>
      </c>
      <c r="AA100" s="93">
        <v>2.4790410000000001</v>
      </c>
      <c r="AB100" s="93">
        <v>2.4897109999999998</v>
      </c>
      <c r="AC100" s="93">
        <v>2.5011100000000002</v>
      </c>
      <c r="AD100" s="93">
        <v>2.51064</v>
      </c>
      <c r="AE100" s="93">
        <v>2.5188060000000001</v>
      </c>
      <c r="AF100" s="92">
        <v>1E-3</v>
      </c>
    </row>
    <row r="101" spans="1:32" x14ac:dyDescent="0.35">
      <c r="A101" s="97" t="s">
        <v>192</v>
      </c>
      <c r="B101" s="89">
        <v>0.75800100000000004</v>
      </c>
      <c r="C101" s="89">
        <v>0.71326100000000003</v>
      </c>
      <c r="D101" s="89">
        <v>0.694465</v>
      </c>
      <c r="E101" s="89">
        <v>0.70489000000000002</v>
      </c>
      <c r="F101" s="89">
        <v>0.69648900000000002</v>
      </c>
      <c r="G101" s="89">
        <v>0.71528700000000001</v>
      </c>
      <c r="H101" s="89">
        <v>0.73767499999999997</v>
      </c>
      <c r="I101" s="89">
        <v>0.75115200000000004</v>
      </c>
      <c r="J101" s="89">
        <v>0.75688900000000003</v>
      </c>
      <c r="K101" s="89">
        <v>0.74979399999999996</v>
      </c>
      <c r="L101" s="89">
        <v>0.75060700000000002</v>
      </c>
      <c r="M101" s="89">
        <v>0.73841500000000004</v>
      </c>
      <c r="N101" s="89">
        <v>0.72909599999999997</v>
      </c>
      <c r="O101" s="89">
        <v>0.72252799999999995</v>
      </c>
      <c r="P101" s="89">
        <v>0.72126599999999996</v>
      </c>
      <c r="Q101" s="89">
        <v>0.70804800000000001</v>
      </c>
      <c r="R101" s="89">
        <v>0.716561</v>
      </c>
      <c r="S101" s="89">
        <v>0.72933999999999999</v>
      </c>
      <c r="T101" s="89">
        <v>0.717167</v>
      </c>
      <c r="U101" s="89">
        <v>0.72048999999999996</v>
      </c>
      <c r="V101" s="89">
        <v>0.72543000000000002</v>
      </c>
      <c r="W101" s="89">
        <v>0.724248</v>
      </c>
      <c r="X101" s="89">
        <v>0.73311400000000004</v>
      </c>
      <c r="Y101" s="89">
        <v>0.73553100000000005</v>
      </c>
      <c r="Z101" s="89">
        <v>0.72661100000000001</v>
      </c>
      <c r="AA101" s="89">
        <v>0.72774300000000003</v>
      </c>
      <c r="AB101" s="89">
        <v>0.72765000000000002</v>
      </c>
      <c r="AC101" s="89">
        <v>0.72210099999999999</v>
      </c>
      <c r="AD101" s="89">
        <v>0.71595399999999998</v>
      </c>
      <c r="AE101" s="89">
        <v>0.70389999999999997</v>
      </c>
      <c r="AF101" s="88">
        <v>0</v>
      </c>
    </row>
    <row r="102" spans="1:32" x14ac:dyDescent="0.35">
      <c r="A102" s="98" t="s">
        <v>160</v>
      </c>
      <c r="B102" s="93">
        <v>3.2659959999999999</v>
      </c>
      <c r="C102" s="93">
        <v>3.1512989999999999</v>
      </c>
      <c r="D102" s="93">
        <v>3.2174749999999999</v>
      </c>
      <c r="E102" s="93">
        <v>3.2439770000000001</v>
      </c>
      <c r="F102" s="93">
        <v>3.224364</v>
      </c>
      <c r="G102" s="93">
        <v>3.2586919999999999</v>
      </c>
      <c r="H102" s="93">
        <v>3.2878020000000001</v>
      </c>
      <c r="I102" s="93">
        <v>3.2984960000000001</v>
      </c>
      <c r="J102" s="93">
        <v>3.2975050000000001</v>
      </c>
      <c r="K102" s="93">
        <v>3.2813639999999999</v>
      </c>
      <c r="L102" s="93">
        <v>3.273746</v>
      </c>
      <c r="M102" s="93">
        <v>3.2534960000000002</v>
      </c>
      <c r="N102" s="93">
        <v>3.2367720000000002</v>
      </c>
      <c r="O102" s="93">
        <v>3.220812</v>
      </c>
      <c r="P102" s="93">
        <v>3.2102339999999998</v>
      </c>
      <c r="Q102" s="93">
        <v>3.1889080000000001</v>
      </c>
      <c r="R102" s="93">
        <v>3.1884269999999999</v>
      </c>
      <c r="S102" s="93">
        <v>3.1937530000000001</v>
      </c>
      <c r="T102" s="93">
        <v>3.1751309999999999</v>
      </c>
      <c r="U102" s="93">
        <v>3.1740569999999999</v>
      </c>
      <c r="V102" s="93">
        <v>3.1783890000000001</v>
      </c>
      <c r="W102" s="93">
        <v>3.1786490000000001</v>
      </c>
      <c r="X102" s="93">
        <v>3.1920570000000001</v>
      </c>
      <c r="Y102" s="93">
        <v>3.2003439999999999</v>
      </c>
      <c r="Z102" s="93">
        <v>3.1971750000000001</v>
      </c>
      <c r="AA102" s="93">
        <v>3.2067839999999999</v>
      </c>
      <c r="AB102" s="93">
        <v>3.2173609999999999</v>
      </c>
      <c r="AC102" s="93">
        <v>3.223211</v>
      </c>
      <c r="AD102" s="93">
        <v>3.226594</v>
      </c>
      <c r="AE102" s="93">
        <v>3.2227060000000001</v>
      </c>
      <c r="AF102" s="92">
        <v>1E-3</v>
      </c>
    </row>
    <row r="103" spans="1:32" x14ac:dyDescent="0.35">
      <c r="A103" s="97"/>
    </row>
    <row r="104" spans="1:32" x14ac:dyDescent="0.35">
      <c r="A104" s="97"/>
    </row>
    <row r="105" spans="1:32" x14ac:dyDescent="0.35">
      <c r="A105" s="98" t="s">
        <v>191</v>
      </c>
    </row>
    <row r="106" spans="1:32" x14ac:dyDescent="0.35">
      <c r="A106" s="97" t="s">
        <v>182</v>
      </c>
      <c r="B106" s="89">
        <v>1.3799999999999999E-3</v>
      </c>
      <c r="C106" s="89">
        <v>1.1000000000000001E-3</v>
      </c>
      <c r="D106" s="89">
        <v>9.1799999999999998E-4</v>
      </c>
      <c r="E106" s="89">
        <v>9.0300000000000005E-4</v>
      </c>
      <c r="F106" s="89">
        <v>9.2699999999999998E-4</v>
      </c>
      <c r="G106" s="89">
        <v>7.9500000000000003E-4</v>
      </c>
      <c r="H106" s="89">
        <v>8.9499999999999996E-4</v>
      </c>
      <c r="I106" s="89">
        <v>9.9099999999999991E-4</v>
      </c>
      <c r="J106" s="89">
        <v>1.1999999999999999E-3</v>
      </c>
      <c r="K106" s="89">
        <v>1.214E-3</v>
      </c>
      <c r="L106" s="89">
        <v>1.1050000000000001E-3</v>
      </c>
      <c r="M106" s="89">
        <v>1.111E-3</v>
      </c>
      <c r="N106" s="89">
        <v>1.106E-3</v>
      </c>
      <c r="O106" s="89">
        <v>1.0989999999999999E-3</v>
      </c>
      <c r="P106" s="89">
        <v>1.0989999999999999E-3</v>
      </c>
      <c r="Q106" s="89">
        <v>1.0510000000000001E-3</v>
      </c>
      <c r="R106" s="89">
        <v>1.145E-3</v>
      </c>
      <c r="S106" s="89">
        <v>1.17E-3</v>
      </c>
      <c r="T106" s="89">
        <v>1.175E-3</v>
      </c>
      <c r="U106" s="89">
        <v>1.1709999999999999E-3</v>
      </c>
      <c r="V106" s="89">
        <v>1.1670000000000001E-3</v>
      </c>
      <c r="W106" s="89">
        <v>1.1150000000000001E-3</v>
      </c>
      <c r="X106" s="89">
        <v>1.1039999999999999E-3</v>
      </c>
      <c r="Y106" s="89">
        <v>1.0950000000000001E-3</v>
      </c>
      <c r="Z106" s="89">
        <v>1.0629999999999999E-3</v>
      </c>
      <c r="AA106" s="89">
        <v>1.0640000000000001E-3</v>
      </c>
      <c r="AB106" s="89">
        <v>1.047E-3</v>
      </c>
      <c r="AC106" s="89">
        <v>1.0560000000000001E-3</v>
      </c>
      <c r="AD106" s="89">
        <v>1.0579999999999999E-3</v>
      </c>
      <c r="AE106" s="89">
        <v>1.06E-3</v>
      </c>
      <c r="AF106" s="88">
        <v>-1E-3</v>
      </c>
    </row>
    <row r="107" spans="1:32" x14ac:dyDescent="0.35">
      <c r="A107" s="97" t="s">
        <v>181</v>
      </c>
      <c r="B107" s="89">
        <v>5.4599999999999996E-3</v>
      </c>
      <c r="C107" s="89">
        <v>3.7799999999999999E-3</v>
      </c>
      <c r="D107" s="89">
        <v>2.96E-3</v>
      </c>
      <c r="E107" s="89">
        <v>2.96E-3</v>
      </c>
      <c r="F107" s="89">
        <v>2.96E-3</v>
      </c>
      <c r="G107" s="89">
        <v>2.96E-3</v>
      </c>
      <c r="H107" s="89">
        <v>3.5599999999999998E-4</v>
      </c>
      <c r="I107" s="89">
        <v>3.5599999999999998E-4</v>
      </c>
      <c r="J107" s="89">
        <v>3.5599999999999998E-4</v>
      </c>
      <c r="K107" s="89">
        <v>3.5599999999999998E-4</v>
      </c>
      <c r="L107" s="89">
        <v>3.5599999999999998E-4</v>
      </c>
      <c r="M107" s="89">
        <v>1.74E-4</v>
      </c>
      <c r="N107" s="89">
        <v>1.74E-4</v>
      </c>
      <c r="O107" s="89">
        <v>0</v>
      </c>
      <c r="P107" s="89">
        <v>0</v>
      </c>
      <c r="Q107" s="89">
        <v>0</v>
      </c>
      <c r="R107" s="89">
        <v>0</v>
      </c>
      <c r="S107" s="89">
        <v>0</v>
      </c>
      <c r="T107" s="89">
        <v>0</v>
      </c>
      <c r="U107" s="89">
        <v>0</v>
      </c>
      <c r="V107" s="89">
        <v>0</v>
      </c>
      <c r="W107" s="89">
        <v>0</v>
      </c>
      <c r="X107" s="89">
        <v>0</v>
      </c>
      <c r="Y107" s="89">
        <v>0</v>
      </c>
      <c r="Z107" s="89">
        <v>0</v>
      </c>
      <c r="AA107" s="89">
        <v>0</v>
      </c>
      <c r="AB107" s="89">
        <v>0</v>
      </c>
      <c r="AC107" s="89">
        <v>0</v>
      </c>
      <c r="AD107" s="89">
        <v>0</v>
      </c>
      <c r="AE107" s="89">
        <v>0</v>
      </c>
      <c r="AF107" s="88">
        <v>-0.54500000000000004</v>
      </c>
    </row>
    <row r="108" spans="1:32" x14ac:dyDescent="0.35">
      <c r="A108" s="97" t="s">
        <v>178</v>
      </c>
      <c r="B108" s="89">
        <v>6.8399999999999997E-3</v>
      </c>
      <c r="C108" s="89">
        <v>4.8799999999999998E-3</v>
      </c>
      <c r="D108" s="89">
        <v>3.8769999999999998E-3</v>
      </c>
      <c r="E108" s="89">
        <v>3.8630000000000001E-3</v>
      </c>
      <c r="F108" s="89">
        <v>3.8869999999999998E-3</v>
      </c>
      <c r="G108" s="89">
        <v>3.7550000000000001E-3</v>
      </c>
      <c r="H108" s="89">
        <v>1.25E-3</v>
      </c>
      <c r="I108" s="89">
        <v>1.3470000000000001E-3</v>
      </c>
      <c r="J108" s="89">
        <v>1.5560000000000001E-3</v>
      </c>
      <c r="K108" s="89">
        <v>1.57E-3</v>
      </c>
      <c r="L108" s="89">
        <v>1.4599999999999999E-3</v>
      </c>
      <c r="M108" s="89">
        <v>1.2849999999999999E-3</v>
      </c>
      <c r="N108" s="89">
        <v>1.279E-3</v>
      </c>
      <c r="O108" s="89">
        <v>1.0989999999999999E-3</v>
      </c>
      <c r="P108" s="89">
        <v>1.0989999999999999E-3</v>
      </c>
      <c r="Q108" s="89">
        <v>1.0510000000000001E-3</v>
      </c>
      <c r="R108" s="89">
        <v>1.145E-3</v>
      </c>
      <c r="S108" s="89">
        <v>1.17E-3</v>
      </c>
      <c r="T108" s="89">
        <v>1.175E-3</v>
      </c>
      <c r="U108" s="89">
        <v>1.1709999999999999E-3</v>
      </c>
      <c r="V108" s="89">
        <v>1.1670000000000001E-3</v>
      </c>
      <c r="W108" s="89">
        <v>1.1150000000000001E-3</v>
      </c>
      <c r="X108" s="89">
        <v>1.1039999999999999E-3</v>
      </c>
      <c r="Y108" s="89">
        <v>1.0950000000000001E-3</v>
      </c>
      <c r="Z108" s="89">
        <v>1.0629999999999999E-3</v>
      </c>
      <c r="AA108" s="89">
        <v>1.0640000000000001E-3</v>
      </c>
      <c r="AB108" s="89">
        <v>1.047E-3</v>
      </c>
      <c r="AC108" s="89">
        <v>1.0560000000000001E-3</v>
      </c>
      <c r="AD108" s="89">
        <v>1.0579999999999999E-3</v>
      </c>
      <c r="AE108" s="89">
        <v>1.06E-3</v>
      </c>
      <c r="AF108" s="88">
        <v>-5.2999999999999999E-2</v>
      </c>
    </row>
    <row r="109" spans="1:32" x14ac:dyDescent="0.35">
      <c r="A109" s="97" t="s">
        <v>177</v>
      </c>
      <c r="B109" s="89">
        <v>0.45316000000000001</v>
      </c>
      <c r="C109" s="89">
        <v>0.44846999999999998</v>
      </c>
      <c r="D109" s="89">
        <v>0.43771700000000002</v>
      </c>
      <c r="E109" s="89">
        <v>0.45023600000000003</v>
      </c>
      <c r="F109" s="89">
        <v>0.45575599999999999</v>
      </c>
      <c r="G109" s="89">
        <v>0.467721</v>
      </c>
      <c r="H109" s="89">
        <v>0.4803</v>
      </c>
      <c r="I109" s="89">
        <v>0.48236099999999998</v>
      </c>
      <c r="J109" s="89">
        <v>0.48047699999999999</v>
      </c>
      <c r="K109" s="89">
        <v>0.47034799999999999</v>
      </c>
      <c r="L109" s="89">
        <v>0.46317399999999997</v>
      </c>
      <c r="M109" s="89">
        <v>0.450075</v>
      </c>
      <c r="N109" s="89">
        <v>0.44029299999999999</v>
      </c>
      <c r="O109" s="89">
        <v>0.43531799999999998</v>
      </c>
      <c r="P109" s="89">
        <v>0.43368000000000001</v>
      </c>
      <c r="Q109" s="89">
        <v>0.42014699999999999</v>
      </c>
      <c r="R109" s="89">
        <v>0.40019900000000003</v>
      </c>
      <c r="S109" s="89">
        <v>0.39881699999999998</v>
      </c>
      <c r="T109" s="89">
        <v>0.383828</v>
      </c>
      <c r="U109" s="89">
        <v>0.389681</v>
      </c>
      <c r="V109" s="89">
        <v>0.394702</v>
      </c>
      <c r="W109" s="89">
        <v>0.405885</v>
      </c>
      <c r="X109" s="89">
        <v>0.41713</v>
      </c>
      <c r="Y109" s="89">
        <v>0.42354900000000001</v>
      </c>
      <c r="Z109" s="89">
        <v>0.41838700000000001</v>
      </c>
      <c r="AA109" s="89">
        <v>0.413995</v>
      </c>
      <c r="AB109" s="89">
        <v>0.41098800000000002</v>
      </c>
      <c r="AC109" s="89">
        <v>0.40604099999999999</v>
      </c>
      <c r="AD109" s="89">
        <v>0.39943200000000001</v>
      </c>
      <c r="AE109" s="89">
        <v>0.38499499999999998</v>
      </c>
      <c r="AF109" s="88">
        <v>-5.0000000000000001E-3</v>
      </c>
    </row>
    <row r="110" spans="1:32" x14ac:dyDescent="0.35">
      <c r="A110" s="97" t="s">
        <v>190</v>
      </c>
      <c r="B110" s="89">
        <v>7.2870000000000004E-2</v>
      </c>
      <c r="C110" s="89">
        <v>4.675E-2</v>
      </c>
      <c r="D110" s="89">
        <v>4.6708E-2</v>
      </c>
      <c r="E110" s="89">
        <v>4.6360999999999999E-2</v>
      </c>
      <c r="F110" s="89">
        <v>4.5199999999999997E-2</v>
      </c>
      <c r="G110" s="89">
        <v>1.3037999999999999E-2</v>
      </c>
      <c r="H110" s="89">
        <v>2.8139999999999998E-2</v>
      </c>
      <c r="I110" s="89">
        <v>4.5978999999999999E-2</v>
      </c>
      <c r="J110" s="89">
        <v>5.4017999999999997E-2</v>
      </c>
      <c r="K110" s="89">
        <v>5.5712999999999999E-2</v>
      </c>
      <c r="L110" s="89">
        <v>5.6980000000000003E-2</v>
      </c>
      <c r="M110" s="89">
        <v>5.7731999999999999E-2</v>
      </c>
      <c r="N110" s="89">
        <v>5.8144000000000001E-2</v>
      </c>
      <c r="O110" s="89">
        <v>5.8423000000000003E-2</v>
      </c>
      <c r="P110" s="89">
        <v>5.8699000000000001E-2</v>
      </c>
      <c r="Q110" s="89">
        <v>5.8721000000000002E-2</v>
      </c>
      <c r="R110" s="89">
        <v>8.6391999999999997E-2</v>
      </c>
      <c r="S110" s="89">
        <v>9.4200000000000006E-2</v>
      </c>
      <c r="T110" s="89">
        <v>9.5432000000000003E-2</v>
      </c>
      <c r="U110" s="89">
        <v>9.5963000000000007E-2</v>
      </c>
      <c r="V110" s="89">
        <v>9.5472000000000001E-2</v>
      </c>
      <c r="W110" s="89">
        <v>8.5068000000000005E-2</v>
      </c>
      <c r="X110" s="89">
        <v>8.4214999999999998E-2</v>
      </c>
      <c r="Y110" s="89">
        <v>8.1622E-2</v>
      </c>
      <c r="Z110" s="89">
        <v>7.9503000000000004E-2</v>
      </c>
      <c r="AA110" s="89">
        <v>8.1553E-2</v>
      </c>
      <c r="AB110" s="89">
        <v>8.0550999999999998E-2</v>
      </c>
      <c r="AC110" s="89">
        <v>8.2103999999999996E-2</v>
      </c>
      <c r="AD110" s="89">
        <v>8.2293000000000005E-2</v>
      </c>
      <c r="AE110" s="89">
        <v>8.2265000000000005E-2</v>
      </c>
      <c r="AF110" s="88">
        <v>0.02</v>
      </c>
    </row>
    <row r="111" spans="1:32" x14ac:dyDescent="0.35">
      <c r="A111" s="97" t="s">
        <v>167</v>
      </c>
      <c r="B111" s="89">
        <v>0.37671500000000002</v>
      </c>
      <c r="C111" s="89">
        <v>0.37137599999999998</v>
      </c>
      <c r="D111" s="89">
        <v>0.36588500000000002</v>
      </c>
      <c r="E111" s="89">
        <v>0.36747800000000003</v>
      </c>
      <c r="F111" s="89">
        <v>0.32664100000000001</v>
      </c>
      <c r="G111" s="89">
        <v>0.330237</v>
      </c>
      <c r="H111" s="89">
        <v>0.331036</v>
      </c>
      <c r="I111" s="89">
        <v>0.33183600000000002</v>
      </c>
      <c r="J111" s="89">
        <v>0.33263599999999999</v>
      </c>
      <c r="K111" s="89">
        <v>0.33286500000000002</v>
      </c>
      <c r="L111" s="89">
        <v>0.33286500000000002</v>
      </c>
      <c r="M111" s="89">
        <v>0.33286500000000002</v>
      </c>
      <c r="N111" s="89">
        <v>0.33286500000000002</v>
      </c>
      <c r="O111" s="89">
        <v>0.33286500000000002</v>
      </c>
      <c r="P111" s="89">
        <v>0.33286500000000002</v>
      </c>
      <c r="Q111" s="89">
        <v>0.33286500000000002</v>
      </c>
      <c r="R111" s="89">
        <v>0.33286500000000002</v>
      </c>
      <c r="S111" s="89">
        <v>0.33286500000000002</v>
      </c>
      <c r="T111" s="89">
        <v>0.33286500000000002</v>
      </c>
      <c r="U111" s="89">
        <v>0.33286500000000002</v>
      </c>
      <c r="V111" s="89">
        <v>0.33286500000000002</v>
      </c>
      <c r="W111" s="89">
        <v>0.33286500000000002</v>
      </c>
      <c r="X111" s="89">
        <v>0.33286500000000002</v>
      </c>
      <c r="Y111" s="89">
        <v>0.33286500000000002</v>
      </c>
      <c r="Z111" s="89">
        <v>0.33286500000000002</v>
      </c>
      <c r="AA111" s="89">
        <v>0.33286500000000002</v>
      </c>
      <c r="AB111" s="89">
        <v>0.33286500000000002</v>
      </c>
      <c r="AC111" s="89">
        <v>0.33286500000000002</v>
      </c>
      <c r="AD111" s="89">
        <v>0.33286500000000002</v>
      </c>
      <c r="AE111" s="89">
        <v>0.33286500000000002</v>
      </c>
      <c r="AF111" s="88">
        <v>-4.0000000000000001E-3</v>
      </c>
    </row>
    <row r="112" spans="1:32" x14ac:dyDescent="0.35">
      <c r="A112" s="97" t="s">
        <v>189</v>
      </c>
      <c r="B112" s="89">
        <v>0.15990699999999999</v>
      </c>
      <c r="C112" s="89">
        <v>0.13897499999999999</v>
      </c>
      <c r="D112" s="89">
        <v>0.13941000000000001</v>
      </c>
      <c r="E112" s="89">
        <v>0.14203299999999999</v>
      </c>
      <c r="F112" s="89">
        <v>0.177954</v>
      </c>
      <c r="G112" s="89">
        <v>0.21764600000000001</v>
      </c>
      <c r="H112" s="89">
        <v>0.21890000000000001</v>
      </c>
      <c r="I112" s="89">
        <v>0.21951899999999999</v>
      </c>
      <c r="J112" s="89">
        <v>0.220362</v>
      </c>
      <c r="K112" s="89">
        <v>0.22120200000000001</v>
      </c>
      <c r="L112" s="89">
        <v>0.227547</v>
      </c>
      <c r="M112" s="89">
        <v>0.22720399999999999</v>
      </c>
      <c r="N112" s="89">
        <v>0.23045499999999999</v>
      </c>
      <c r="O112" s="89">
        <v>0.23071</v>
      </c>
      <c r="P112" s="89">
        <v>0.230434</v>
      </c>
      <c r="Q112" s="89">
        <v>0.23074600000000001</v>
      </c>
      <c r="R112" s="89">
        <v>0.23352000000000001</v>
      </c>
      <c r="S112" s="89">
        <v>0.23910200000000001</v>
      </c>
      <c r="T112" s="89">
        <v>0.238955</v>
      </c>
      <c r="U112" s="89">
        <v>0.238756</v>
      </c>
      <c r="V112" s="89">
        <v>0.23927200000000001</v>
      </c>
      <c r="W112" s="89">
        <v>0.23863599999999999</v>
      </c>
      <c r="X112" s="89">
        <v>0.23997599999999999</v>
      </c>
      <c r="Y112" s="89">
        <v>0.24115800000000001</v>
      </c>
      <c r="Z112" s="89">
        <v>0.24140200000000001</v>
      </c>
      <c r="AA112" s="89">
        <v>0.24523300000000001</v>
      </c>
      <c r="AB112" s="89">
        <v>0.249776</v>
      </c>
      <c r="AC112" s="89">
        <v>0.24847900000000001</v>
      </c>
      <c r="AD112" s="89">
        <v>0.24887400000000001</v>
      </c>
      <c r="AE112" s="89">
        <v>0.24984500000000001</v>
      </c>
      <c r="AF112" s="88">
        <v>2.1000000000000001E-2</v>
      </c>
    </row>
    <row r="113" spans="1:32" x14ac:dyDescent="0.35">
      <c r="A113" s="97" t="s">
        <v>162</v>
      </c>
      <c r="B113" s="89">
        <v>5.4503000000000003E-2</v>
      </c>
      <c r="C113" s="89">
        <v>5.4503000000000003E-2</v>
      </c>
      <c r="D113" s="89">
        <v>5.4503000000000003E-2</v>
      </c>
      <c r="E113" s="89">
        <v>5.4503000000000003E-2</v>
      </c>
      <c r="F113" s="89">
        <v>5.4503000000000003E-2</v>
      </c>
      <c r="G113" s="89">
        <v>5.4503000000000003E-2</v>
      </c>
      <c r="H113" s="89">
        <v>5.4503000000000003E-2</v>
      </c>
      <c r="I113" s="89">
        <v>5.4503000000000003E-2</v>
      </c>
      <c r="J113" s="89">
        <v>5.4503000000000003E-2</v>
      </c>
      <c r="K113" s="89">
        <v>5.4503000000000003E-2</v>
      </c>
      <c r="L113" s="89">
        <v>5.4503000000000003E-2</v>
      </c>
      <c r="M113" s="89">
        <v>5.4503000000000003E-2</v>
      </c>
      <c r="N113" s="89">
        <v>5.4503000000000003E-2</v>
      </c>
      <c r="O113" s="89">
        <v>5.4503000000000003E-2</v>
      </c>
      <c r="P113" s="89">
        <v>5.4503000000000003E-2</v>
      </c>
      <c r="Q113" s="89">
        <v>5.4503000000000003E-2</v>
      </c>
      <c r="R113" s="89">
        <v>5.4503000000000003E-2</v>
      </c>
      <c r="S113" s="89">
        <v>5.4503000000000003E-2</v>
      </c>
      <c r="T113" s="89">
        <v>5.4503000000000003E-2</v>
      </c>
      <c r="U113" s="89">
        <v>5.4503000000000003E-2</v>
      </c>
      <c r="V113" s="89">
        <v>5.4503000000000003E-2</v>
      </c>
      <c r="W113" s="89">
        <v>5.4503000000000003E-2</v>
      </c>
      <c r="X113" s="89">
        <v>5.4503000000000003E-2</v>
      </c>
      <c r="Y113" s="89">
        <v>5.4503000000000003E-2</v>
      </c>
      <c r="Z113" s="89">
        <v>5.4503000000000003E-2</v>
      </c>
      <c r="AA113" s="89">
        <v>5.4503000000000003E-2</v>
      </c>
      <c r="AB113" s="89">
        <v>5.4503000000000003E-2</v>
      </c>
      <c r="AC113" s="89">
        <v>5.4503000000000003E-2</v>
      </c>
      <c r="AD113" s="89">
        <v>5.4503000000000003E-2</v>
      </c>
      <c r="AE113" s="89">
        <v>5.4503000000000003E-2</v>
      </c>
      <c r="AF113" s="88">
        <v>0</v>
      </c>
    </row>
    <row r="114" spans="1:32" x14ac:dyDescent="0.35">
      <c r="A114" s="97" t="s">
        <v>161</v>
      </c>
      <c r="B114" s="89">
        <v>4.5747000000000003E-2</v>
      </c>
      <c r="C114" s="89">
        <v>5.1067000000000001E-2</v>
      </c>
      <c r="D114" s="89">
        <v>5.1104999999999998E-2</v>
      </c>
      <c r="E114" s="89">
        <v>4.1811000000000001E-2</v>
      </c>
      <c r="F114" s="89">
        <v>4.0568E-2</v>
      </c>
      <c r="G114" s="89">
        <v>4.1489999999999999E-2</v>
      </c>
      <c r="H114" s="89">
        <v>4.1634999999999998E-2</v>
      </c>
      <c r="I114" s="89">
        <v>3.7007999999999999E-2</v>
      </c>
      <c r="J114" s="89">
        <v>3.6201999999999998E-2</v>
      </c>
      <c r="K114" s="89">
        <v>3.5511000000000001E-2</v>
      </c>
      <c r="L114" s="89">
        <v>3.705E-2</v>
      </c>
      <c r="M114" s="89">
        <v>3.9158999999999999E-2</v>
      </c>
      <c r="N114" s="89">
        <v>3.7723E-2</v>
      </c>
      <c r="O114" s="89">
        <v>3.6665999999999997E-2</v>
      </c>
      <c r="P114" s="89">
        <v>3.8143000000000003E-2</v>
      </c>
      <c r="Q114" s="89">
        <v>3.9217000000000002E-2</v>
      </c>
      <c r="R114" s="89">
        <v>3.764E-2</v>
      </c>
      <c r="S114" s="89">
        <v>3.8610999999999999E-2</v>
      </c>
      <c r="T114" s="89">
        <v>4.0467999999999997E-2</v>
      </c>
      <c r="U114" s="89">
        <v>3.7422999999999998E-2</v>
      </c>
      <c r="V114" s="89">
        <v>3.7511999999999997E-2</v>
      </c>
      <c r="W114" s="89">
        <v>3.6853999999999998E-2</v>
      </c>
      <c r="X114" s="89">
        <v>3.5243999999999998E-2</v>
      </c>
      <c r="Y114" s="89">
        <v>3.3843999999999999E-2</v>
      </c>
      <c r="Z114" s="89">
        <v>3.2925999999999997E-2</v>
      </c>
      <c r="AA114" s="89">
        <v>3.3697999999999999E-2</v>
      </c>
      <c r="AB114" s="89">
        <v>3.4236999999999997E-2</v>
      </c>
      <c r="AC114" s="89">
        <v>3.4647999999999998E-2</v>
      </c>
      <c r="AD114" s="89">
        <v>3.5323E-2</v>
      </c>
      <c r="AE114" s="89">
        <v>3.7286E-2</v>
      </c>
      <c r="AF114" s="88">
        <v>-1.0999999999999999E-2</v>
      </c>
    </row>
    <row r="115" spans="1:32" x14ac:dyDescent="0.35">
      <c r="A115" s="98" t="s">
        <v>160</v>
      </c>
      <c r="B115" s="93">
        <v>1.1697420000000001</v>
      </c>
      <c r="C115" s="93">
        <v>1.1160209999999999</v>
      </c>
      <c r="D115" s="93">
        <v>1.0992040000000001</v>
      </c>
      <c r="E115" s="93">
        <v>1.106285</v>
      </c>
      <c r="F115" s="93">
        <v>1.104509</v>
      </c>
      <c r="G115" s="93">
        <v>1.1283909999999999</v>
      </c>
      <c r="H115" s="93">
        <v>1.1557649999999999</v>
      </c>
      <c r="I115" s="93">
        <v>1.172552</v>
      </c>
      <c r="J115" s="93">
        <v>1.1797550000000001</v>
      </c>
      <c r="K115" s="93">
        <v>1.1717120000000001</v>
      </c>
      <c r="L115" s="93">
        <v>1.1735800000000001</v>
      </c>
      <c r="M115" s="93">
        <v>1.1628229999999999</v>
      </c>
      <c r="N115" s="93">
        <v>1.155262</v>
      </c>
      <c r="O115" s="93">
        <v>1.1495839999999999</v>
      </c>
      <c r="P115" s="93">
        <v>1.1494230000000001</v>
      </c>
      <c r="Q115" s="93">
        <v>1.1372500000000001</v>
      </c>
      <c r="R115" s="93">
        <v>1.1462650000000001</v>
      </c>
      <c r="S115" s="93">
        <v>1.159267</v>
      </c>
      <c r="T115" s="93">
        <v>1.147227</v>
      </c>
      <c r="U115" s="93">
        <v>1.150361</v>
      </c>
      <c r="V115" s="93">
        <v>1.1554930000000001</v>
      </c>
      <c r="W115" s="93">
        <v>1.154925</v>
      </c>
      <c r="X115" s="93">
        <v>1.1650370000000001</v>
      </c>
      <c r="Y115" s="93">
        <v>1.168636</v>
      </c>
      <c r="Z115" s="93">
        <v>1.1606479999999999</v>
      </c>
      <c r="AA115" s="93">
        <v>1.162911</v>
      </c>
      <c r="AB115" s="93">
        <v>1.163967</v>
      </c>
      <c r="AC115" s="93">
        <v>1.1596960000000001</v>
      </c>
      <c r="AD115" s="93">
        <v>1.154347</v>
      </c>
      <c r="AE115" s="93">
        <v>1.142819</v>
      </c>
      <c r="AF115" s="92">
        <v>1E-3</v>
      </c>
    </row>
    <row r="116" spans="1:32" x14ac:dyDescent="0.35">
      <c r="A116" s="97"/>
    </row>
    <row r="117" spans="1:32" x14ac:dyDescent="0.35">
      <c r="A117" s="98" t="s">
        <v>188</v>
      </c>
    </row>
    <row r="118" spans="1:32" x14ac:dyDescent="0.35">
      <c r="A118" s="97" t="s">
        <v>187</v>
      </c>
      <c r="B118" s="89">
        <v>6.2080999999999997E-2</v>
      </c>
      <c r="C118" s="89">
        <v>6.1337000000000003E-2</v>
      </c>
      <c r="D118" s="89">
        <v>6.1490999999999997E-2</v>
      </c>
      <c r="E118" s="89">
        <v>6.1851999999999997E-2</v>
      </c>
      <c r="F118" s="89">
        <v>6.1515E-2</v>
      </c>
      <c r="G118" s="89">
        <v>6.1971999999999999E-2</v>
      </c>
      <c r="H118" s="89">
        <v>6.2345999999999999E-2</v>
      </c>
      <c r="I118" s="89">
        <v>6.2702999999999995E-2</v>
      </c>
      <c r="J118" s="89">
        <v>6.3048999999999994E-2</v>
      </c>
      <c r="K118" s="89">
        <v>6.3357999999999998E-2</v>
      </c>
      <c r="L118" s="89">
        <v>6.3584000000000002E-2</v>
      </c>
      <c r="M118" s="89">
        <v>6.3855999999999996E-2</v>
      </c>
      <c r="N118" s="89">
        <v>6.4114000000000004E-2</v>
      </c>
      <c r="O118" s="89">
        <v>6.4310999999999993E-2</v>
      </c>
      <c r="P118" s="89">
        <v>6.4454999999999998E-2</v>
      </c>
      <c r="Q118" s="89">
        <v>6.4549999999999996E-2</v>
      </c>
      <c r="R118" s="89">
        <v>6.4680000000000001E-2</v>
      </c>
      <c r="S118" s="89">
        <v>6.4811999999999995E-2</v>
      </c>
      <c r="T118" s="89">
        <v>6.4868999999999996E-2</v>
      </c>
      <c r="U118" s="89">
        <v>6.4925999999999998E-2</v>
      </c>
      <c r="V118" s="89">
        <v>6.5002000000000004E-2</v>
      </c>
      <c r="W118" s="89">
        <v>6.5072000000000005E-2</v>
      </c>
      <c r="X118" s="89">
        <v>6.5119999999999997E-2</v>
      </c>
      <c r="Y118" s="89">
        <v>6.5109E-2</v>
      </c>
      <c r="Z118" s="89">
        <v>6.5180000000000002E-2</v>
      </c>
      <c r="AA118" s="89">
        <v>6.5249000000000001E-2</v>
      </c>
      <c r="AB118" s="89">
        <v>6.5401000000000001E-2</v>
      </c>
      <c r="AC118" s="89">
        <v>6.5527000000000002E-2</v>
      </c>
      <c r="AD118" s="89">
        <v>6.5627000000000005E-2</v>
      </c>
      <c r="AE118" s="89">
        <v>6.5706000000000001E-2</v>
      </c>
      <c r="AF118" s="88">
        <v>2E-3</v>
      </c>
    </row>
    <row r="119" spans="1:32" x14ac:dyDescent="0.35">
      <c r="A119" s="97" t="s">
        <v>186</v>
      </c>
      <c r="B119" s="89">
        <v>0.78073999999999999</v>
      </c>
      <c r="C119" s="89">
        <v>0.78017199999999998</v>
      </c>
      <c r="D119" s="89">
        <v>0.77709899999999998</v>
      </c>
      <c r="E119" s="89">
        <v>0.76160099999999997</v>
      </c>
      <c r="F119" s="89">
        <v>0.74828099999999997</v>
      </c>
      <c r="G119" s="89">
        <v>0.74031899999999995</v>
      </c>
      <c r="H119" s="89">
        <v>0.73012900000000003</v>
      </c>
      <c r="I119" s="89">
        <v>0.71900600000000003</v>
      </c>
      <c r="J119" s="89">
        <v>0.70557300000000001</v>
      </c>
      <c r="K119" s="89">
        <v>0.69157500000000005</v>
      </c>
      <c r="L119" s="89">
        <v>0.67682600000000004</v>
      </c>
      <c r="M119" s="89">
        <v>0.66169</v>
      </c>
      <c r="N119" s="89">
        <v>0.64626899999999998</v>
      </c>
      <c r="O119" s="89">
        <v>0.63027299999999997</v>
      </c>
      <c r="P119" s="89">
        <v>0.61390699999999998</v>
      </c>
      <c r="Q119" s="89">
        <v>0.59904900000000005</v>
      </c>
      <c r="R119" s="89">
        <v>0.58560900000000005</v>
      </c>
      <c r="S119" s="89">
        <v>0.57386000000000004</v>
      </c>
      <c r="T119" s="89">
        <v>0.56326600000000004</v>
      </c>
      <c r="U119" s="89">
        <v>0.55379</v>
      </c>
      <c r="V119" s="89">
        <v>0.54553200000000002</v>
      </c>
      <c r="W119" s="89">
        <v>0.53822300000000001</v>
      </c>
      <c r="X119" s="89">
        <v>0.53176199999999996</v>
      </c>
      <c r="Y119" s="89">
        <v>0.52563199999999999</v>
      </c>
      <c r="Z119" s="89">
        <v>0.52005000000000001</v>
      </c>
      <c r="AA119" s="89">
        <v>0.51702700000000001</v>
      </c>
      <c r="AB119" s="89">
        <v>0.51576299999999997</v>
      </c>
      <c r="AC119" s="89">
        <v>0.51503100000000002</v>
      </c>
      <c r="AD119" s="89">
        <v>0.51461100000000004</v>
      </c>
      <c r="AE119" s="89">
        <v>0.51421700000000004</v>
      </c>
      <c r="AF119" s="88">
        <v>-1.4999999999999999E-2</v>
      </c>
    </row>
    <row r="120" spans="1:32" x14ac:dyDescent="0.35">
      <c r="A120" s="97" t="s">
        <v>185</v>
      </c>
      <c r="B120" s="89">
        <v>6.0000000000000002E-5</v>
      </c>
      <c r="C120" s="89">
        <v>2.9E-4</v>
      </c>
      <c r="D120" s="89">
        <v>2.9799999999999998E-4</v>
      </c>
      <c r="E120" s="89">
        <v>3.2699999999999998E-4</v>
      </c>
      <c r="F120" s="89">
        <v>9.7E-5</v>
      </c>
      <c r="G120" s="89">
        <v>1.011E-3</v>
      </c>
      <c r="H120" s="89">
        <v>1.0529999999999999E-3</v>
      </c>
      <c r="I120" s="89">
        <v>2.176E-3</v>
      </c>
      <c r="J120" s="89">
        <v>3.7850000000000002E-3</v>
      </c>
      <c r="K120" s="89">
        <v>4.8549999999999999E-3</v>
      </c>
      <c r="L120" s="89">
        <v>6.5700000000000003E-3</v>
      </c>
      <c r="M120" s="89">
        <v>8.94E-3</v>
      </c>
      <c r="N120" s="89">
        <v>1.021E-2</v>
      </c>
      <c r="O120" s="89">
        <v>1.1721000000000001E-2</v>
      </c>
      <c r="P120" s="89">
        <v>1.3618999999999999E-2</v>
      </c>
      <c r="Q120" s="89">
        <v>1.5438E-2</v>
      </c>
      <c r="R120" s="89">
        <v>1.7197E-2</v>
      </c>
      <c r="S120" s="89">
        <v>1.8579999999999999E-2</v>
      </c>
      <c r="T120" s="89">
        <v>1.9597E-2</v>
      </c>
      <c r="U120" s="89">
        <v>2.0456999999999999E-2</v>
      </c>
      <c r="V120" s="89">
        <v>2.0506E-2</v>
      </c>
      <c r="W120" s="89">
        <v>2.0229E-2</v>
      </c>
      <c r="X120" s="89">
        <v>1.9819E-2</v>
      </c>
      <c r="Y120" s="89">
        <v>1.8925999999999998E-2</v>
      </c>
      <c r="Z120" s="89">
        <v>1.7944999999999999E-2</v>
      </c>
      <c r="AA120" s="89">
        <v>1.6716999999999999E-2</v>
      </c>
      <c r="AB120" s="89">
        <v>1.558E-2</v>
      </c>
      <c r="AC120" s="89">
        <v>1.4423E-2</v>
      </c>
      <c r="AD120" s="89">
        <v>1.3889E-2</v>
      </c>
      <c r="AE120" s="89">
        <v>1.3275E-2</v>
      </c>
      <c r="AF120" s="88">
        <v>0.14599999999999999</v>
      </c>
    </row>
    <row r="121" spans="1:32" x14ac:dyDescent="0.35">
      <c r="A121" s="97" t="s">
        <v>184</v>
      </c>
      <c r="B121" s="89">
        <v>6.6492999999999997E-2</v>
      </c>
      <c r="C121" s="89">
        <v>6.5835000000000005E-2</v>
      </c>
      <c r="D121" s="89">
        <v>6.4382999999999996E-2</v>
      </c>
      <c r="E121" s="89">
        <v>6.4647999999999997E-2</v>
      </c>
      <c r="F121" s="89">
        <v>6.4450999999999994E-2</v>
      </c>
      <c r="G121" s="89">
        <v>6.4388000000000001E-2</v>
      </c>
      <c r="H121" s="89">
        <v>6.4380999999999994E-2</v>
      </c>
      <c r="I121" s="89">
        <v>6.4338000000000006E-2</v>
      </c>
      <c r="J121" s="89">
        <v>6.4272999999999997E-2</v>
      </c>
      <c r="K121" s="89">
        <v>6.4201999999999995E-2</v>
      </c>
      <c r="L121" s="89">
        <v>6.4183000000000004E-2</v>
      </c>
      <c r="M121" s="89">
        <v>6.4151E-2</v>
      </c>
      <c r="N121" s="89">
        <v>6.4090999999999995E-2</v>
      </c>
      <c r="O121" s="89">
        <v>6.4119999999999996E-2</v>
      </c>
      <c r="P121" s="89">
        <v>6.4227000000000006E-2</v>
      </c>
      <c r="Q121" s="89">
        <v>6.4285999999999996E-2</v>
      </c>
      <c r="R121" s="89">
        <v>6.4339999999999994E-2</v>
      </c>
      <c r="S121" s="89">
        <v>6.4401E-2</v>
      </c>
      <c r="T121" s="89">
        <v>6.4419000000000004E-2</v>
      </c>
      <c r="U121" s="89">
        <v>6.4431000000000002E-2</v>
      </c>
      <c r="V121" s="89">
        <v>6.4459000000000002E-2</v>
      </c>
      <c r="W121" s="89">
        <v>6.4455999999999999E-2</v>
      </c>
      <c r="X121" s="89">
        <v>6.4422999999999994E-2</v>
      </c>
      <c r="Y121" s="89">
        <v>6.4382999999999996E-2</v>
      </c>
      <c r="Z121" s="89">
        <v>6.4307000000000003E-2</v>
      </c>
      <c r="AA121" s="89">
        <v>6.4283999999999994E-2</v>
      </c>
      <c r="AB121" s="89">
        <v>6.429E-2</v>
      </c>
      <c r="AC121" s="89">
        <v>6.4282000000000006E-2</v>
      </c>
      <c r="AD121" s="89">
        <v>6.4245999999999998E-2</v>
      </c>
      <c r="AE121" s="89">
        <v>6.4226000000000005E-2</v>
      </c>
      <c r="AF121" s="88">
        <v>-1E-3</v>
      </c>
    </row>
    <row r="122" spans="1:32" x14ac:dyDescent="0.35">
      <c r="A122" s="97" t="s">
        <v>183</v>
      </c>
      <c r="B122" s="89">
        <v>5.1900000000000002E-3</v>
      </c>
      <c r="C122" s="89">
        <v>1.583E-3</v>
      </c>
      <c r="D122" s="89">
        <v>1.952E-3</v>
      </c>
      <c r="E122" s="89">
        <v>2.0569999999999998E-3</v>
      </c>
      <c r="F122" s="89">
        <v>1.9380000000000001E-3</v>
      </c>
      <c r="G122" s="89">
        <v>1.9580000000000001E-3</v>
      </c>
      <c r="H122" s="89">
        <v>1.9959999999999999E-3</v>
      </c>
      <c r="I122" s="89">
        <v>2.0460000000000001E-3</v>
      </c>
      <c r="J122" s="89">
        <v>2.0579999999999999E-3</v>
      </c>
      <c r="K122" s="89">
        <v>2.068E-3</v>
      </c>
      <c r="L122" s="89">
        <v>2.0760000000000002E-3</v>
      </c>
      <c r="M122" s="89">
        <v>2.0820000000000001E-3</v>
      </c>
      <c r="N122" s="89">
        <v>2.088E-3</v>
      </c>
      <c r="O122" s="89">
        <v>2.0939999999999999E-3</v>
      </c>
      <c r="P122" s="89">
        <v>2.101E-3</v>
      </c>
      <c r="Q122" s="89">
        <v>2.1080000000000001E-3</v>
      </c>
      <c r="R122" s="89">
        <v>2.114E-3</v>
      </c>
      <c r="S122" s="89">
        <v>2.1210000000000001E-3</v>
      </c>
      <c r="T122" s="89">
        <v>2.127E-3</v>
      </c>
      <c r="U122" s="89">
        <v>2.1329999999999999E-3</v>
      </c>
      <c r="V122" s="89">
        <v>2.1389999999999998E-3</v>
      </c>
      <c r="W122" s="89">
        <v>2.1440000000000001E-3</v>
      </c>
      <c r="X122" s="89">
        <v>2.15E-3</v>
      </c>
      <c r="Y122" s="89">
        <v>2.1549999999999998E-3</v>
      </c>
      <c r="Z122" s="89">
        <v>2.163E-3</v>
      </c>
      <c r="AA122" s="89">
        <v>2.1710000000000002E-3</v>
      </c>
      <c r="AB122" s="89">
        <v>2.1800000000000001E-3</v>
      </c>
      <c r="AC122" s="89">
        <v>2.1879999999999998E-3</v>
      </c>
      <c r="AD122" s="89">
        <v>2.1930000000000001E-3</v>
      </c>
      <c r="AE122" s="89">
        <v>2.1979999999999999E-3</v>
      </c>
      <c r="AF122" s="88">
        <v>1.2E-2</v>
      </c>
    </row>
    <row r="123" spans="1:32" x14ac:dyDescent="0.35">
      <c r="A123" s="97" t="s">
        <v>182</v>
      </c>
      <c r="B123" s="89">
        <v>0.46938000000000002</v>
      </c>
      <c r="C123" s="89">
        <v>0.446857</v>
      </c>
      <c r="D123" s="89">
        <v>0.46392099999999997</v>
      </c>
      <c r="E123" s="89">
        <v>0.474325</v>
      </c>
      <c r="F123" s="89">
        <v>0.46935100000000002</v>
      </c>
      <c r="G123" s="89">
        <v>0.47614000000000001</v>
      </c>
      <c r="H123" s="89">
        <v>0.47949700000000001</v>
      </c>
      <c r="I123" s="89">
        <v>0.47932200000000003</v>
      </c>
      <c r="J123" s="89">
        <v>0.47914299999999999</v>
      </c>
      <c r="K123" s="89">
        <v>0.47817199999999999</v>
      </c>
      <c r="L123" s="89">
        <v>0.47738799999999998</v>
      </c>
      <c r="M123" s="89">
        <v>0.47687000000000002</v>
      </c>
      <c r="N123" s="89">
        <v>0.47698699999999999</v>
      </c>
      <c r="O123" s="89">
        <v>0.47756599999999999</v>
      </c>
      <c r="P123" s="89">
        <v>0.47848800000000002</v>
      </c>
      <c r="Q123" s="89">
        <v>0.47902499999999998</v>
      </c>
      <c r="R123" s="89">
        <v>0.47892600000000002</v>
      </c>
      <c r="S123" s="89">
        <v>0.47838000000000003</v>
      </c>
      <c r="T123" s="89">
        <v>0.47839599999999999</v>
      </c>
      <c r="U123" s="89">
        <v>0.47882999999999998</v>
      </c>
      <c r="V123" s="89">
        <v>0.47949900000000001</v>
      </c>
      <c r="W123" s="89">
        <v>0.47948400000000002</v>
      </c>
      <c r="X123" s="89">
        <v>0.48022399999999998</v>
      </c>
      <c r="Y123" s="89">
        <v>0.481877</v>
      </c>
      <c r="Z123" s="89">
        <v>0.483429</v>
      </c>
      <c r="AA123" s="89">
        <v>0.48458800000000002</v>
      </c>
      <c r="AB123" s="89">
        <v>0.48598200000000003</v>
      </c>
      <c r="AC123" s="89">
        <v>0.487257</v>
      </c>
      <c r="AD123" s="89">
        <v>0.48858600000000002</v>
      </c>
      <c r="AE123" s="89">
        <v>0.48937000000000003</v>
      </c>
      <c r="AF123" s="88">
        <v>3.0000000000000001E-3</v>
      </c>
    </row>
    <row r="124" spans="1:32" x14ac:dyDescent="0.35">
      <c r="A124" s="97" t="s">
        <v>181</v>
      </c>
      <c r="B124" s="89">
        <v>2.6929999999999999E-2</v>
      </c>
      <c r="C124" s="89">
        <v>1.8253999999999999E-2</v>
      </c>
      <c r="D124" s="89">
        <v>1.687E-2</v>
      </c>
      <c r="E124" s="89">
        <v>2.3702999999999998E-2</v>
      </c>
      <c r="F124" s="89">
        <v>2.5446E-2</v>
      </c>
      <c r="G124" s="89">
        <v>2.6036E-2</v>
      </c>
      <c r="H124" s="89">
        <v>2.3994999999999999E-2</v>
      </c>
      <c r="I124" s="89">
        <v>2.4375999999999998E-2</v>
      </c>
      <c r="J124" s="89">
        <v>2.4362000000000002E-2</v>
      </c>
      <c r="K124" s="89">
        <v>2.4309000000000001E-2</v>
      </c>
      <c r="L124" s="89">
        <v>2.4417000000000001E-2</v>
      </c>
      <c r="M124" s="89">
        <v>2.4181000000000001E-2</v>
      </c>
      <c r="N124" s="89">
        <v>2.4220999999999999E-2</v>
      </c>
      <c r="O124" s="89">
        <v>2.4188999999999999E-2</v>
      </c>
      <c r="P124" s="89">
        <v>2.4372999999999999E-2</v>
      </c>
      <c r="Q124" s="89">
        <v>2.4427000000000001E-2</v>
      </c>
      <c r="R124" s="89">
        <v>2.4473999999999999E-2</v>
      </c>
      <c r="S124" s="89">
        <v>2.4629000000000002E-2</v>
      </c>
      <c r="T124" s="89">
        <v>2.4635000000000001E-2</v>
      </c>
      <c r="U124" s="89">
        <v>2.4725E-2</v>
      </c>
      <c r="V124" s="89">
        <v>2.4608000000000001E-2</v>
      </c>
      <c r="W124" s="89">
        <v>2.4364E-2</v>
      </c>
      <c r="X124" s="89">
        <v>2.4337000000000001E-2</v>
      </c>
      <c r="Y124" s="89">
        <v>2.4337999999999999E-2</v>
      </c>
      <c r="Z124" s="89">
        <v>2.4448000000000001E-2</v>
      </c>
      <c r="AA124" s="89">
        <v>2.4548E-2</v>
      </c>
      <c r="AB124" s="89">
        <v>2.4639000000000001E-2</v>
      </c>
      <c r="AC124" s="89">
        <v>2.477E-2</v>
      </c>
      <c r="AD124" s="89">
        <v>2.4967E-2</v>
      </c>
      <c r="AE124" s="89">
        <v>2.5162E-2</v>
      </c>
      <c r="AF124" s="88">
        <v>1.2E-2</v>
      </c>
    </row>
    <row r="125" spans="1:32" x14ac:dyDescent="0.35">
      <c r="A125" s="97" t="s">
        <v>180</v>
      </c>
      <c r="B125" s="89">
        <v>0</v>
      </c>
      <c r="C125" s="89">
        <v>0</v>
      </c>
      <c r="D125" s="89">
        <v>0</v>
      </c>
      <c r="E125" s="89">
        <v>0</v>
      </c>
      <c r="F125" s="89">
        <v>0</v>
      </c>
      <c r="G125" s="89">
        <v>0</v>
      </c>
      <c r="H125" s="89">
        <v>0</v>
      </c>
      <c r="I125" s="89">
        <v>0</v>
      </c>
      <c r="J125" s="89">
        <v>0</v>
      </c>
      <c r="K125" s="89">
        <v>0</v>
      </c>
      <c r="L125" s="89">
        <v>0</v>
      </c>
      <c r="M125" s="89">
        <v>0</v>
      </c>
      <c r="N125" s="89">
        <v>0</v>
      </c>
      <c r="O125" s="89">
        <v>0</v>
      </c>
      <c r="P125" s="89">
        <v>0</v>
      </c>
      <c r="Q125" s="89">
        <v>0</v>
      </c>
      <c r="R125" s="89">
        <v>0</v>
      </c>
      <c r="S125" s="89">
        <v>0</v>
      </c>
      <c r="T125" s="89">
        <v>0</v>
      </c>
      <c r="U125" s="89">
        <v>0</v>
      </c>
      <c r="V125" s="89">
        <v>0</v>
      </c>
      <c r="W125" s="89">
        <v>0</v>
      </c>
      <c r="X125" s="89">
        <v>0</v>
      </c>
      <c r="Y125" s="89">
        <v>0</v>
      </c>
      <c r="Z125" s="89">
        <v>0</v>
      </c>
      <c r="AA125" s="89">
        <v>0</v>
      </c>
      <c r="AB125" s="89">
        <v>0</v>
      </c>
      <c r="AC125" s="89">
        <v>0</v>
      </c>
      <c r="AD125" s="89">
        <v>0</v>
      </c>
      <c r="AE125" s="89">
        <v>0</v>
      </c>
      <c r="AF125" s="89" t="s">
        <v>163</v>
      </c>
    </row>
    <row r="126" spans="1:32" x14ac:dyDescent="0.35">
      <c r="A126" s="97" t="s">
        <v>179</v>
      </c>
      <c r="B126" s="89">
        <v>3.0041999999999999E-2</v>
      </c>
      <c r="C126" s="89">
        <v>2.8579E-2</v>
      </c>
      <c r="D126" s="89">
        <v>2.6939999999999999E-2</v>
      </c>
      <c r="E126" s="89">
        <v>2.7782999999999999E-2</v>
      </c>
      <c r="F126" s="89">
        <v>3.1025E-2</v>
      </c>
      <c r="G126" s="89">
        <v>3.2636999999999999E-2</v>
      </c>
      <c r="H126" s="89">
        <v>3.3493000000000002E-2</v>
      </c>
      <c r="I126" s="89">
        <v>3.4035999999999997E-2</v>
      </c>
      <c r="J126" s="89">
        <v>3.4119999999999998E-2</v>
      </c>
      <c r="K126" s="89">
        <v>3.4144000000000001E-2</v>
      </c>
      <c r="L126" s="89">
        <v>3.4141999999999999E-2</v>
      </c>
      <c r="M126" s="89">
        <v>3.4120999999999999E-2</v>
      </c>
      <c r="N126" s="89">
        <v>3.4221000000000001E-2</v>
      </c>
      <c r="O126" s="89">
        <v>3.4440999999999999E-2</v>
      </c>
      <c r="P126" s="89">
        <v>3.4789E-2</v>
      </c>
      <c r="Q126" s="89">
        <v>3.5059E-2</v>
      </c>
      <c r="R126" s="89">
        <v>3.5220000000000001E-2</v>
      </c>
      <c r="S126" s="89">
        <v>3.5235000000000002E-2</v>
      </c>
      <c r="T126" s="89">
        <v>3.5313999999999998E-2</v>
      </c>
      <c r="U126" s="89">
        <v>3.5439999999999999E-2</v>
      </c>
      <c r="V126" s="89">
        <v>3.5476000000000001E-2</v>
      </c>
      <c r="W126" s="89">
        <v>3.5234000000000001E-2</v>
      </c>
      <c r="X126" s="89">
        <v>3.524E-2</v>
      </c>
      <c r="Y126" s="89">
        <v>3.5435000000000001E-2</v>
      </c>
      <c r="Z126" s="89">
        <v>3.5681999999999998E-2</v>
      </c>
      <c r="AA126" s="89">
        <v>3.5936999999999997E-2</v>
      </c>
      <c r="AB126" s="89">
        <v>3.6188999999999999E-2</v>
      </c>
      <c r="AC126" s="89">
        <v>3.6462000000000001E-2</v>
      </c>
      <c r="AD126" s="89">
        <v>3.669E-2</v>
      </c>
      <c r="AE126" s="89">
        <v>3.6992999999999998E-2</v>
      </c>
      <c r="AF126" s="88">
        <v>8.9999999999999993E-3</v>
      </c>
    </row>
    <row r="127" spans="1:32" x14ac:dyDescent="0.35">
      <c r="A127" s="97" t="s">
        <v>178</v>
      </c>
      <c r="B127" s="89">
        <v>1.4408559999999999</v>
      </c>
      <c r="C127" s="89">
        <v>1.4026179999999999</v>
      </c>
      <c r="D127" s="89">
        <v>1.4126559999999999</v>
      </c>
      <c r="E127" s="89">
        <v>1.415969</v>
      </c>
      <c r="F127" s="89">
        <v>1.402007</v>
      </c>
      <c r="G127" s="89">
        <v>1.4034500000000001</v>
      </c>
      <c r="H127" s="89">
        <v>1.3958379999999999</v>
      </c>
      <c r="I127" s="89">
        <v>1.385826</v>
      </c>
      <c r="J127" s="89">
        <v>1.3725780000000001</v>
      </c>
      <c r="K127" s="89">
        <v>1.357828</v>
      </c>
      <c r="L127" s="89">
        <v>1.3426149999999999</v>
      </c>
      <c r="M127" s="89">
        <v>1.3269519999999999</v>
      </c>
      <c r="N127" s="89">
        <v>1.3119909999999999</v>
      </c>
      <c r="O127" s="89">
        <v>1.2969949999999999</v>
      </c>
      <c r="P127" s="89">
        <v>1.2823389999999999</v>
      </c>
      <c r="Q127" s="89">
        <v>1.268505</v>
      </c>
      <c r="R127" s="89">
        <v>1.255363</v>
      </c>
      <c r="S127" s="89">
        <v>1.2434400000000001</v>
      </c>
      <c r="T127" s="89">
        <v>1.2330270000000001</v>
      </c>
      <c r="U127" s="89">
        <v>1.224275</v>
      </c>
      <c r="V127" s="89">
        <v>1.216715</v>
      </c>
      <c r="W127" s="89">
        <v>1.2089780000000001</v>
      </c>
      <c r="X127" s="89">
        <v>1.203254</v>
      </c>
      <c r="Y127" s="89">
        <v>1.1989289999999999</v>
      </c>
      <c r="Z127" s="89">
        <v>1.19526</v>
      </c>
      <c r="AA127" s="89">
        <v>1.1938029999999999</v>
      </c>
      <c r="AB127" s="89">
        <v>1.1944440000000001</v>
      </c>
      <c r="AC127" s="89">
        <v>1.195516</v>
      </c>
      <c r="AD127" s="89">
        <v>1.1969209999999999</v>
      </c>
      <c r="AE127" s="89">
        <v>1.197873</v>
      </c>
      <c r="AF127" s="88">
        <v>-6.0000000000000001E-3</v>
      </c>
    </row>
    <row r="128" spans="1:32" x14ac:dyDescent="0.35">
      <c r="A128" s="97" t="s">
        <v>177</v>
      </c>
      <c r="B128" s="89">
        <v>0.93955200000000005</v>
      </c>
      <c r="C128" s="89">
        <v>0.914377</v>
      </c>
      <c r="D128" s="89">
        <v>0.96785200000000005</v>
      </c>
      <c r="E128" s="89">
        <v>0.99481900000000001</v>
      </c>
      <c r="F128" s="89">
        <v>0.98731199999999997</v>
      </c>
      <c r="G128" s="89">
        <v>1.0065109999999999</v>
      </c>
      <c r="H128" s="89">
        <v>1.0240370000000001</v>
      </c>
      <c r="I128" s="89">
        <v>1.0288010000000001</v>
      </c>
      <c r="J128" s="89">
        <v>1.030481</v>
      </c>
      <c r="K128" s="89">
        <v>1.0247219999999999</v>
      </c>
      <c r="L128" s="89">
        <v>1.0208269999999999</v>
      </c>
      <c r="M128" s="89">
        <v>1.0113760000000001</v>
      </c>
      <c r="N128" s="89">
        <v>1.005277</v>
      </c>
      <c r="O128" s="89">
        <v>1.003234</v>
      </c>
      <c r="P128" s="89">
        <v>1.0040370000000001</v>
      </c>
      <c r="Q128" s="89">
        <v>0.99330099999999999</v>
      </c>
      <c r="R128" s="89">
        <v>0.97585299999999997</v>
      </c>
      <c r="S128" s="89">
        <v>0.977321</v>
      </c>
      <c r="T128" s="89">
        <v>0.96478799999999998</v>
      </c>
      <c r="U128" s="89">
        <v>0.97350800000000004</v>
      </c>
      <c r="V128" s="89">
        <v>0.98353999999999997</v>
      </c>
      <c r="W128" s="89">
        <v>1.0019149999999999</v>
      </c>
      <c r="X128" s="89">
        <v>1.0203500000000001</v>
      </c>
      <c r="Y128" s="89">
        <v>1.0335510000000001</v>
      </c>
      <c r="Z128" s="89">
        <v>1.0349090000000001</v>
      </c>
      <c r="AA128" s="89">
        <v>1.037134</v>
      </c>
      <c r="AB128" s="89">
        <v>1.040789</v>
      </c>
      <c r="AC128" s="89">
        <v>1.042702</v>
      </c>
      <c r="AD128" s="89">
        <v>1.040754</v>
      </c>
      <c r="AE128" s="89">
        <v>1.0306569999999999</v>
      </c>
      <c r="AF128" s="88">
        <v>4.0000000000000001E-3</v>
      </c>
    </row>
    <row r="129" spans="1:32" x14ac:dyDescent="0.35">
      <c r="A129" s="97" t="s">
        <v>176</v>
      </c>
      <c r="B129" s="89">
        <v>0</v>
      </c>
      <c r="C129" s="89">
        <v>0</v>
      </c>
      <c r="D129" s="89">
        <v>0</v>
      </c>
      <c r="E129" s="89">
        <v>0</v>
      </c>
      <c r="F129" s="89">
        <v>0</v>
      </c>
      <c r="G129" s="89">
        <v>0</v>
      </c>
      <c r="H129" s="89">
        <v>0</v>
      </c>
      <c r="I129" s="89">
        <v>0</v>
      </c>
      <c r="J129" s="89">
        <v>0</v>
      </c>
      <c r="K129" s="89">
        <v>0</v>
      </c>
      <c r="L129" s="89">
        <v>0</v>
      </c>
      <c r="M129" s="89">
        <v>0</v>
      </c>
      <c r="N129" s="89">
        <v>0</v>
      </c>
      <c r="O129" s="89">
        <v>0</v>
      </c>
      <c r="P129" s="89">
        <v>0</v>
      </c>
      <c r="Q129" s="89">
        <v>0</v>
      </c>
      <c r="R129" s="89">
        <v>0</v>
      </c>
      <c r="S129" s="89">
        <v>0</v>
      </c>
      <c r="T129" s="89">
        <v>0</v>
      </c>
      <c r="U129" s="89">
        <v>0</v>
      </c>
      <c r="V129" s="89">
        <v>0</v>
      </c>
      <c r="W129" s="89">
        <v>0</v>
      </c>
      <c r="X129" s="89">
        <v>0</v>
      </c>
      <c r="Y129" s="89">
        <v>0</v>
      </c>
      <c r="Z129" s="89">
        <v>0</v>
      </c>
      <c r="AA129" s="89">
        <v>0</v>
      </c>
      <c r="AB129" s="89">
        <v>0</v>
      </c>
      <c r="AC129" s="89">
        <v>0</v>
      </c>
      <c r="AD129" s="89">
        <v>0</v>
      </c>
      <c r="AE129" s="89">
        <v>0</v>
      </c>
      <c r="AF129" s="89" t="s">
        <v>163</v>
      </c>
    </row>
    <row r="130" spans="1:32" x14ac:dyDescent="0.35">
      <c r="A130" s="97" t="s">
        <v>175</v>
      </c>
      <c r="B130" s="89">
        <v>6.0000000000000002E-6</v>
      </c>
      <c r="C130" s="89">
        <v>6.9999999999999999E-6</v>
      </c>
      <c r="D130" s="89">
        <v>2.9E-5</v>
      </c>
      <c r="E130" s="89">
        <v>3.4999999999999997E-5</v>
      </c>
      <c r="F130" s="89">
        <v>4.1E-5</v>
      </c>
      <c r="G130" s="89">
        <v>4.5000000000000003E-5</v>
      </c>
      <c r="H130" s="89">
        <v>4.6999999999999997E-5</v>
      </c>
      <c r="I130" s="89">
        <v>4.6999999999999997E-5</v>
      </c>
      <c r="J130" s="89">
        <v>4.8000000000000001E-5</v>
      </c>
      <c r="K130" s="89">
        <v>4.8999999999999998E-5</v>
      </c>
      <c r="L130" s="89">
        <v>5.5000000000000002E-5</v>
      </c>
      <c r="M130" s="89">
        <v>6.3999999999999997E-5</v>
      </c>
      <c r="N130" s="89">
        <v>7.3999999999999996E-5</v>
      </c>
      <c r="O130" s="89">
        <v>9.5000000000000005E-5</v>
      </c>
      <c r="P130" s="89">
        <v>1.1900000000000001E-4</v>
      </c>
      <c r="Q130" s="89">
        <v>1.4899999999999999E-4</v>
      </c>
      <c r="R130" s="89">
        <v>1.7799999999999999E-4</v>
      </c>
      <c r="S130" s="89">
        <v>2.42E-4</v>
      </c>
      <c r="T130" s="89">
        <v>3.0800000000000001E-4</v>
      </c>
      <c r="U130" s="89">
        <v>3.8499999999999998E-4</v>
      </c>
      <c r="V130" s="89">
        <v>4.6700000000000002E-4</v>
      </c>
      <c r="W130" s="89">
        <v>5.5500000000000005E-4</v>
      </c>
      <c r="X130" s="89">
        <v>6.5899999999999997E-4</v>
      </c>
      <c r="Y130" s="89">
        <v>7.7099999999999998E-4</v>
      </c>
      <c r="Z130" s="89">
        <v>9.0499999999999999E-4</v>
      </c>
      <c r="AA130" s="89">
        <v>1.116E-3</v>
      </c>
      <c r="AB130" s="89">
        <v>1.325E-3</v>
      </c>
      <c r="AC130" s="89">
        <v>1.5449999999999999E-3</v>
      </c>
      <c r="AD130" s="89">
        <v>1.755E-3</v>
      </c>
      <c r="AE130" s="89">
        <v>2.0509999999999999E-3</v>
      </c>
      <c r="AF130" s="88">
        <v>0.22600000000000001</v>
      </c>
    </row>
    <row r="131" spans="1:32" x14ac:dyDescent="0.35">
      <c r="A131" s="97" t="s">
        <v>174</v>
      </c>
      <c r="B131" s="89">
        <v>1.4926999999999999E-2</v>
      </c>
      <c r="C131" s="89">
        <v>1.5616E-2</v>
      </c>
      <c r="D131" s="89">
        <v>1.3303000000000001E-2</v>
      </c>
      <c r="E131" s="89">
        <v>1.4354E-2</v>
      </c>
      <c r="F131" s="89">
        <v>1.3499000000000001E-2</v>
      </c>
      <c r="G131" s="89">
        <v>1.3029000000000001E-2</v>
      </c>
      <c r="H131" s="89">
        <v>1.3205E-2</v>
      </c>
      <c r="I131" s="89">
        <v>1.3252999999999999E-2</v>
      </c>
      <c r="J131" s="89">
        <v>1.3270000000000001E-2</v>
      </c>
      <c r="K131" s="89">
        <v>1.3213000000000001E-2</v>
      </c>
      <c r="L131" s="89">
        <v>1.3174E-2</v>
      </c>
      <c r="M131" s="89">
        <v>1.3079E-2</v>
      </c>
      <c r="N131" s="89">
        <v>1.3018E-2</v>
      </c>
      <c r="O131" s="89">
        <v>1.2997999999999999E-2</v>
      </c>
      <c r="P131" s="89">
        <v>1.3006999999999999E-2</v>
      </c>
      <c r="Q131" s="89">
        <v>1.2899000000000001E-2</v>
      </c>
      <c r="R131" s="89">
        <v>1.2725E-2</v>
      </c>
      <c r="S131" s="89">
        <v>1.274E-2</v>
      </c>
      <c r="T131" s="89">
        <v>1.2614999999999999E-2</v>
      </c>
      <c r="U131" s="89">
        <v>1.2704E-2</v>
      </c>
      <c r="V131" s="89">
        <v>1.2805E-2</v>
      </c>
      <c r="W131" s="89">
        <v>1.2991000000000001E-2</v>
      </c>
      <c r="X131" s="89">
        <v>1.3176999999999999E-2</v>
      </c>
      <c r="Y131" s="89">
        <v>1.3311E-2</v>
      </c>
      <c r="Z131" s="89">
        <v>1.3325999999999999E-2</v>
      </c>
      <c r="AA131" s="89">
        <v>1.3351E-2</v>
      </c>
      <c r="AB131" s="89">
        <v>1.3390000000000001E-2</v>
      </c>
      <c r="AC131" s="89">
        <v>1.3410999999999999E-2</v>
      </c>
      <c r="AD131" s="89">
        <v>1.3394E-2</v>
      </c>
      <c r="AE131" s="89">
        <v>1.3296000000000001E-2</v>
      </c>
      <c r="AF131" s="88">
        <v>-6.0000000000000001E-3</v>
      </c>
    </row>
    <row r="132" spans="1:32" x14ac:dyDescent="0.35">
      <c r="A132" s="97" t="s">
        <v>173</v>
      </c>
      <c r="B132" s="89">
        <v>0.95448599999999995</v>
      </c>
      <c r="C132" s="89">
        <v>0.93</v>
      </c>
      <c r="D132" s="89">
        <v>0.98118399999999995</v>
      </c>
      <c r="E132" s="89">
        <v>1.009207</v>
      </c>
      <c r="F132" s="89">
        <v>1.0008509999999999</v>
      </c>
      <c r="G132" s="89">
        <v>1.019585</v>
      </c>
      <c r="H132" s="89">
        <v>1.0372889999999999</v>
      </c>
      <c r="I132" s="89">
        <v>1.0421009999999999</v>
      </c>
      <c r="J132" s="89">
        <v>1.0437989999999999</v>
      </c>
      <c r="K132" s="89">
        <v>1.037984</v>
      </c>
      <c r="L132" s="89">
        <v>1.0340560000000001</v>
      </c>
      <c r="M132" s="89">
        <v>1.024519</v>
      </c>
      <c r="N132" s="89">
        <v>1.0183690000000001</v>
      </c>
      <c r="O132" s="89">
        <v>1.016327</v>
      </c>
      <c r="P132" s="89">
        <v>1.017164</v>
      </c>
      <c r="Q132" s="89">
        <v>1.0063489999999999</v>
      </c>
      <c r="R132" s="89">
        <v>0.98875599999999997</v>
      </c>
      <c r="S132" s="89">
        <v>0.99030399999999996</v>
      </c>
      <c r="T132" s="89">
        <v>0.97771200000000003</v>
      </c>
      <c r="U132" s="89">
        <v>0.98659699999999995</v>
      </c>
      <c r="V132" s="89">
        <v>0.99681200000000003</v>
      </c>
      <c r="W132" s="89">
        <v>1.0154609999999999</v>
      </c>
      <c r="X132" s="89">
        <v>1.034186</v>
      </c>
      <c r="Y132" s="89">
        <v>1.047633</v>
      </c>
      <c r="Z132" s="89">
        <v>1.04914</v>
      </c>
      <c r="AA132" s="89">
        <v>1.051601</v>
      </c>
      <c r="AB132" s="89">
        <v>1.055504</v>
      </c>
      <c r="AC132" s="89">
        <v>1.057658</v>
      </c>
      <c r="AD132" s="89">
        <v>1.055904</v>
      </c>
      <c r="AE132" s="89">
        <v>1.0460039999999999</v>
      </c>
      <c r="AF132" s="88">
        <v>4.0000000000000001E-3</v>
      </c>
    </row>
    <row r="133" spans="1:32" x14ac:dyDescent="0.35">
      <c r="A133" s="97" t="s">
        <v>172</v>
      </c>
      <c r="B133" s="89">
        <v>0</v>
      </c>
      <c r="C133" s="89">
        <v>0</v>
      </c>
      <c r="D133" s="89">
        <v>0</v>
      </c>
      <c r="E133" s="89">
        <v>0</v>
      </c>
      <c r="F133" s="89">
        <v>0</v>
      </c>
      <c r="G133" s="89">
        <v>0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89">
        <v>0</v>
      </c>
      <c r="N133" s="89">
        <v>0</v>
      </c>
      <c r="O133" s="89">
        <v>0</v>
      </c>
      <c r="P133" s="89">
        <v>0</v>
      </c>
      <c r="Q133" s="89">
        <v>0</v>
      </c>
      <c r="R133" s="89">
        <v>0</v>
      </c>
      <c r="S133" s="89">
        <v>0</v>
      </c>
      <c r="T133" s="89">
        <v>0</v>
      </c>
      <c r="U133" s="89">
        <v>0</v>
      </c>
      <c r="V133" s="89">
        <v>0</v>
      </c>
      <c r="W133" s="89">
        <v>0</v>
      </c>
      <c r="X133" s="89">
        <v>0</v>
      </c>
      <c r="Y133" s="89">
        <v>0</v>
      </c>
      <c r="Z133" s="89">
        <v>0</v>
      </c>
      <c r="AA133" s="89">
        <v>0</v>
      </c>
      <c r="AB133" s="89">
        <v>0</v>
      </c>
      <c r="AC133" s="89">
        <v>0</v>
      </c>
      <c r="AD133" s="89">
        <v>0</v>
      </c>
      <c r="AE133" s="89">
        <v>0</v>
      </c>
      <c r="AF133" s="89" t="s">
        <v>163</v>
      </c>
    </row>
    <row r="134" spans="1:32" x14ac:dyDescent="0.35">
      <c r="A134" s="97" t="s">
        <v>171</v>
      </c>
      <c r="B134" s="89">
        <v>7.5079999999999994E-2</v>
      </c>
      <c r="C134" s="89">
        <v>4.8730000000000002E-2</v>
      </c>
      <c r="D134" s="89">
        <v>4.8490999999999999E-2</v>
      </c>
      <c r="E134" s="89">
        <v>4.8170999999999999E-2</v>
      </c>
      <c r="F134" s="89">
        <v>4.7069E-2</v>
      </c>
      <c r="G134" s="89">
        <v>1.4955E-2</v>
      </c>
      <c r="H134" s="89">
        <v>3.0079999999999999E-2</v>
      </c>
      <c r="I134" s="89">
        <v>4.7921999999999999E-2</v>
      </c>
      <c r="J134" s="89">
        <v>5.5962999999999999E-2</v>
      </c>
      <c r="K134" s="89">
        <v>5.7661999999999998E-2</v>
      </c>
      <c r="L134" s="89">
        <v>5.8935000000000001E-2</v>
      </c>
      <c r="M134" s="89">
        <v>5.9691000000000001E-2</v>
      </c>
      <c r="N134" s="89">
        <v>6.0106E-2</v>
      </c>
      <c r="O134" s="89">
        <v>6.0385000000000001E-2</v>
      </c>
      <c r="P134" s="89">
        <v>6.0664000000000003E-2</v>
      </c>
      <c r="Q134" s="89">
        <v>6.0689E-2</v>
      </c>
      <c r="R134" s="89">
        <v>8.8356000000000004E-2</v>
      </c>
      <c r="S134" s="89">
        <v>9.6156000000000005E-2</v>
      </c>
      <c r="T134" s="89">
        <v>9.7382999999999997E-2</v>
      </c>
      <c r="U134" s="89">
        <v>9.7909999999999997E-2</v>
      </c>
      <c r="V134" s="89">
        <v>9.7415000000000002E-2</v>
      </c>
      <c r="W134" s="89">
        <v>8.6998000000000006E-2</v>
      </c>
      <c r="X134" s="89">
        <v>8.6140999999999995E-2</v>
      </c>
      <c r="Y134" s="89">
        <v>8.3551E-2</v>
      </c>
      <c r="Z134" s="89">
        <v>8.1435999999999995E-2</v>
      </c>
      <c r="AA134" s="89">
        <v>8.3490999999999996E-2</v>
      </c>
      <c r="AB134" s="89">
        <v>8.2493999999999998E-2</v>
      </c>
      <c r="AC134" s="89">
        <v>8.4058999999999995E-2</v>
      </c>
      <c r="AD134" s="89">
        <v>8.4258E-2</v>
      </c>
      <c r="AE134" s="89">
        <v>8.4243999999999999E-2</v>
      </c>
      <c r="AF134" s="88">
        <v>0.02</v>
      </c>
    </row>
    <row r="135" spans="1:32" x14ac:dyDescent="0.35">
      <c r="A135" s="97" t="s">
        <v>170</v>
      </c>
      <c r="B135" s="89">
        <v>0</v>
      </c>
      <c r="C135" s="89">
        <v>0</v>
      </c>
      <c r="D135" s="89">
        <v>0</v>
      </c>
      <c r="E135" s="89">
        <v>0</v>
      </c>
      <c r="F135" s="89">
        <v>0</v>
      </c>
      <c r="G135" s="89">
        <v>0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89">
        <v>0</v>
      </c>
      <c r="N135" s="89">
        <v>0</v>
      </c>
      <c r="O135" s="89">
        <v>0</v>
      </c>
      <c r="P135" s="89">
        <v>0</v>
      </c>
      <c r="Q135" s="89">
        <v>0</v>
      </c>
      <c r="R135" s="89">
        <v>0</v>
      </c>
      <c r="S135" s="89">
        <v>0</v>
      </c>
      <c r="T135" s="89">
        <v>0</v>
      </c>
      <c r="U135" s="89">
        <v>0</v>
      </c>
      <c r="V135" s="89">
        <v>0</v>
      </c>
      <c r="W135" s="89">
        <v>0</v>
      </c>
      <c r="X135" s="89">
        <v>0</v>
      </c>
      <c r="Y135" s="89">
        <v>0</v>
      </c>
      <c r="Z135" s="89">
        <v>0</v>
      </c>
      <c r="AA135" s="89">
        <v>0</v>
      </c>
      <c r="AB135" s="89">
        <v>0</v>
      </c>
      <c r="AC135" s="89">
        <v>0</v>
      </c>
      <c r="AD135" s="89">
        <v>0</v>
      </c>
      <c r="AE135" s="89">
        <v>0</v>
      </c>
      <c r="AF135" s="89" t="s">
        <v>163</v>
      </c>
    </row>
    <row r="136" spans="1:32" x14ac:dyDescent="0.35">
      <c r="A136" s="97" t="s">
        <v>169</v>
      </c>
      <c r="B136" s="89">
        <v>0</v>
      </c>
      <c r="C136" s="89">
        <v>0</v>
      </c>
      <c r="D136" s="89">
        <v>0</v>
      </c>
      <c r="E136" s="89">
        <v>0</v>
      </c>
      <c r="F136" s="89">
        <v>0</v>
      </c>
      <c r="G136" s="89">
        <v>0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89">
        <v>0</v>
      </c>
      <c r="O136" s="89">
        <v>0</v>
      </c>
      <c r="P136" s="89">
        <v>0</v>
      </c>
      <c r="Q136" s="89">
        <v>0</v>
      </c>
      <c r="R136" s="89">
        <v>0</v>
      </c>
      <c r="S136" s="89">
        <v>0</v>
      </c>
      <c r="T136" s="89">
        <v>0</v>
      </c>
      <c r="U136" s="89">
        <v>0</v>
      </c>
      <c r="V136" s="89">
        <v>0</v>
      </c>
      <c r="W136" s="89">
        <v>0</v>
      </c>
      <c r="X136" s="89">
        <v>0</v>
      </c>
      <c r="Y136" s="89">
        <v>0</v>
      </c>
      <c r="Z136" s="89">
        <v>0</v>
      </c>
      <c r="AA136" s="89">
        <v>0</v>
      </c>
      <c r="AB136" s="89">
        <v>0</v>
      </c>
      <c r="AC136" s="89">
        <v>0</v>
      </c>
      <c r="AD136" s="89">
        <v>0</v>
      </c>
      <c r="AE136" s="89">
        <v>0</v>
      </c>
      <c r="AF136" s="89" t="s">
        <v>163</v>
      </c>
    </row>
    <row r="137" spans="1:32" x14ac:dyDescent="0.35">
      <c r="A137" s="97" t="s">
        <v>168</v>
      </c>
      <c r="B137" s="89">
        <v>7.5079999999999994E-2</v>
      </c>
      <c r="C137" s="89">
        <v>4.8730000000000002E-2</v>
      </c>
      <c r="D137" s="89">
        <v>4.8490999999999999E-2</v>
      </c>
      <c r="E137" s="89">
        <v>4.8170999999999999E-2</v>
      </c>
      <c r="F137" s="89">
        <v>4.7069E-2</v>
      </c>
      <c r="G137" s="89">
        <v>1.4955E-2</v>
      </c>
      <c r="H137" s="89">
        <v>3.0079999999999999E-2</v>
      </c>
      <c r="I137" s="89">
        <v>4.7921999999999999E-2</v>
      </c>
      <c r="J137" s="89">
        <v>5.5962999999999999E-2</v>
      </c>
      <c r="K137" s="89">
        <v>5.7661999999999998E-2</v>
      </c>
      <c r="L137" s="89">
        <v>5.8935000000000001E-2</v>
      </c>
      <c r="M137" s="89">
        <v>5.9691000000000001E-2</v>
      </c>
      <c r="N137" s="89">
        <v>6.0106E-2</v>
      </c>
      <c r="O137" s="89">
        <v>6.0385000000000001E-2</v>
      </c>
      <c r="P137" s="89">
        <v>6.0664000000000003E-2</v>
      </c>
      <c r="Q137" s="89">
        <v>6.0689E-2</v>
      </c>
      <c r="R137" s="89">
        <v>8.8356000000000004E-2</v>
      </c>
      <c r="S137" s="89">
        <v>9.6156000000000005E-2</v>
      </c>
      <c r="T137" s="89">
        <v>9.7382999999999997E-2</v>
      </c>
      <c r="U137" s="89">
        <v>9.7909999999999997E-2</v>
      </c>
      <c r="V137" s="89">
        <v>9.7415000000000002E-2</v>
      </c>
      <c r="W137" s="89">
        <v>8.6998000000000006E-2</v>
      </c>
      <c r="X137" s="89">
        <v>8.6140999999999995E-2</v>
      </c>
      <c r="Y137" s="89">
        <v>8.3551E-2</v>
      </c>
      <c r="Z137" s="89">
        <v>8.1435999999999995E-2</v>
      </c>
      <c r="AA137" s="89">
        <v>8.3490999999999996E-2</v>
      </c>
      <c r="AB137" s="89">
        <v>8.2493999999999998E-2</v>
      </c>
      <c r="AC137" s="89">
        <v>8.4058999999999995E-2</v>
      </c>
      <c r="AD137" s="89">
        <v>8.4258E-2</v>
      </c>
      <c r="AE137" s="89">
        <v>8.4243999999999999E-2</v>
      </c>
      <c r="AF137" s="88">
        <v>0.02</v>
      </c>
    </row>
    <row r="138" spans="1:32" x14ac:dyDescent="0.35">
      <c r="A138" s="97" t="s">
        <v>167</v>
      </c>
      <c r="B138" s="89">
        <v>0.37671500000000002</v>
      </c>
      <c r="C138" s="89">
        <v>0.37137599999999998</v>
      </c>
      <c r="D138" s="89">
        <v>0.36588500000000002</v>
      </c>
      <c r="E138" s="89">
        <v>0.36747800000000003</v>
      </c>
      <c r="F138" s="89">
        <v>0.32664100000000001</v>
      </c>
      <c r="G138" s="89">
        <v>0.330237</v>
      </c>
      <c r="H138" s="89">
        <v>0.331036</v>
      </c>
      <c r="I138" s="89">
        <v>0.33183600000000002</v>
      </c>
      <c r="J138" s="89">
        <v>0.33263599999999999</v>
      </c>
      <c r="K138" s="89">
        <v>0.33286500000000002</v>
      </c>
      <c r="L138" s="89">
        <v>0.33286500000000002</v>
      </c>
      <c r="M138" s="89">
        <v>0.33286500000000002</v>
      </c>
      <c r="N138" s="89">
        <v>0.33286500000000002</v>
      </c>
      <c r="O138" s="89">
        <v>0.33286500000000002</v>
      </c>
      <c r="P138" s="89">
        <v>0.33286500000000002</v>
      </c>
      <c r="Q138" s="89">
        <v>0.33286500000000002</v>
      </c>
      <c r="R138" s="89">
        <v>0.33286500000000002</v>
      </c>
      <c r="S138" s="89">
        <v>0.33286500000000002</v>
      </c>
      <c r="T138" s="89">
        <v>0.33286500000000002</v>
      </c>
      <c r="U138" s="89">
        <v>0.33286500000000002</v>
      </c>
      <c r="V138" s="89">
        <v>0.33286500000000002</v>
      </c>
      <c r="W138" s="89">
        <v>0.33286500000000002</v>
      </c>
      <c r="X138" s="89">
        <v>0.33286500000000002</v>
      </c>
      <c r="Y138" s="89">
        <v>0.33286500000000002</v>
      </c>
      <c r="Z138" s="89">
        <v>0.33286500000000002</v>
      </c>
      <c r="AA138" s="89">
        <v>0.33286500000000002</v>
      </c>
      <c r="AB138" s="89">
        <v>0.33286500000000002</v>
      </c>
      <c r="AC138" s="89">
        <v>0.33286500000000002</v>
      </c>
      <c r="AD138" s="89">
        <v>0.33286500000000002</v>
      </c>
      <c r="AE138" s="89">
        <v>0.33286500000000002</v>
      </c>
      <c r="AF138" s="88">
        <v>-4.0000000000000001E-3</v>
      </c>
    </row>
    <row r="139" spans="1:32" x14ac:dyDescent="0.35">
      <c r="A139" s="97" t="s">
        <v>166</v>
      </c>
      <c r="B139" s="89">
        <v>2.1593000000000001E-2</v>
      </c>
      <c r="C139" s="89">
        <v>2.4239E-2</v>
      </c>
      <c r="D139" s="89">
        <v>2.4708000000000001E-2</v>
      </c>
      <c r="E139" s="89">
        <v>2.2519000000000001E-2</v>
      </c>
      <c r="F139" s="89">
        <v>3.2708000000000001E-2</v>
      </c>
      <c r="G139" s="89">
        <v>3.2721E-2</v>
      </c>
      <c r="H139" s="89">
        <v>3.3097000000000001E-2</v>
      </c>
      <c r="I139" s="89">
        <v>3.3107999999999999E-2</v>
      </c>
      <c r="J139" s="89">
        <v>3.2981999999999997E-2</v>
      </c>
      <c r="K139" s="89">
        <v>3.3051999999999998E-2</v>
      </c>
      <c r="L139" s="89">
        <v>3.2964E-2</v>
      </c>
      <c r="M139" s="89">
        <v>3.3148999999999998E-2</v>
      </c>
      <c r="N139" s="89">
        <v>3.3133999999999997E-2</v>
      </c>
      <c r="O139" s="89">
        <v>3.2901E-2</v>
      </c>
      <c r="P139" s="89">
        <v>3.2647000000000002E-2</v>
      </c>
      <c r="Q139" s="89">
        <v>3.2389000000000001E-2</v>
      </c>
      <c r="R139" s="89">
        <v>3.2160000000000001E-2</v>
      </c>
      <c r="S139" s="89">
        <v>3.1938000000000001E-2</v>
      </c>
      <c r="T139" s="89">
        <v>3.1708E-2</v>
      </c>
      <c r="U139" s="89">
        <v>3.1480000000000001E-2</v>
      </c>
      <c r="V139" s="89">
        <v>3.1294000000000002E-2</v>
      </c>
      <c r="W139" s="89">
        <v>3.1112000000000001E-2</v>
      </c>
      <c r="X139" s="89">
        <v>3.0931E-2</v>
      </c>
      <c r="Y139" s="89">
        <v>3.0775E-2</v>
      </c>
      <c r="Z139" s="89">
        <v>3.0526999999999999E-2</v>
      </c>
      <c r="AA139" s="89">
        <v>3.0345E-2</v>
      </c>
      <c r="AB139" s="89">
        <v>3.0273000000000001E-2</v>
      </c>
      <c r="AC139" s="89">
        <v>3.0188E-2</v>
      </c>
      <c r="AD139" s="89">
        <v>3.0700999999999999E-2</v>
      </c>
      <c r="AE139" s="89">
        <v>3.0835999999999999E-2</v>
      </c>
      <c r="AF139" s="88">
        <v>8.9999999999999993E-3</v>
      </c>
    </row>
    <row r="140" spans="1:32" x14ac:dyDescent="0.35">
      <c r="A140" s="97" t="s">
        <v>165</v>
      </c>
      <c r="B140" s="89">
        <v>0.29701699999999998</v>
      </c>
      <c r="C140" s="89">
        <v>0.268766</v>
      </c>
      <c r="D140" s="89">
        <v>0.278943</v>
      </c>
      <c r="E140" s="89">
        <v>0.28431800000000002</v>
      </c>
      <c r="F140" s="89">
        <v>0.32001000000000002</v>
      </c>
      <c r="G140" s="89">
        <v>0.361736</v>
      </c>
      <c r="H140" s="89">
        <v>0.36430400000000002</v>
      </c>
      <c r="I140" s="89">
        <v>0.36615900000000001</v>
      </c>
      <c r="J140" s="89">
        <v>0.36879800000000001</v>
      </c>
      <c r="K140" s="89">
        <v>0.37190499999999999</v>
      </c>
      <c r="L140" s="89">
        <v>0.380693</v>
      </c>
      <c r="M140" s="89">
        <v>0.38258300000000001</v>
      </c>
      <c r="N140" s="89">
        <v>0.38799800000000001</v>
      </c>
      <c r="O140" s="89">
        <v>0.39007700000000001</v>
      </c>
      <c r="P140" s="89">
        <v>0.39180799999999999</v>
      </c>
      <c r="Q140" s="89">
        <v>0.39428299999999999</v>
      </c>
      <c r="R140" s="89">
        <v>0.39866699999999999</v>
      </c>
      <c r="S140" s="89">
        <v>0.40581299999999998</v>
      </c>
      <c r="T140" s="89">
        <v>0.407333</v>
      </c>
      <c r="U140" s="89">
        <v>0.40886499999999998</v>
      </c>
      <c r="V140" s="89">
        <v>0.41112799999999999</v>
      </c>
      <c r="W140" s="89">
        <v>0.41172799999999998</v>
      </c>
      <c r="X140" s="89">
        <v>0.41477399999999998</v>
      </c>
      <c r="Y140" s="89">
        <v>0.41808099999999998</v>
      </c>
      <c r="Z140" s="89">
        <v>0.42035</v>
      </c>
      <c r="AA140" s="89">
        <v>0.42630600000000002</v>
      </c>
      <c r="AB140" s="89">
        <v>0.432863</v>
      </c>
      <c r="AC140" s="89">
        <v>0.43359199999999998</v>
      </c>
      <c r="AD140" s="89">
        <v>0.43593100000000001</v>
      </c>
      <c r="AE140" s="89">
        <v>0.43890000000000001</v>
      </c>
      <c r="AF140" s="88">
        <v>1.7999999999999999E-2</v>
      </c>
    </row>
    <row r="141" spans="1:32" x14ac:dyDescent="0.35">
      <c r="A141" s="97" t="s">
        <v>164</v>
      </c>
      <c r="B141" s="89">
        <v>0</v>
      </c>
      <c r="C141" s="89">
        <v>0</v>
      </c>
      <c r="D141" s="89">
        <v>0</v>
      </c>
      <c r="E141" s="89">
        <v>0</v>
      </c>
      <c r="F141" s="89">
        <v>6.9999999999999999E-6</v>
      </c>
      <c r="G141" s="89">
        <v>1.5E-5</v>
      </c>
      <c r="H141" s="89">
        <v>2.0000000000000002E-5</v>
      </c>
      <c r="I141" s="89">
        <v>3.3000000000000003E-5</v>
      </c>
      <c r="J141" s="89">
        <v>4.3999999999999999E-5</v>
      </c>
      <c r="K141" s="89">
        <v>5.5000000000000002E-5</v>
      </c>
      <c r="L141" s="89">
        <v>6.4999999999999994E-5</v>
      </c>
      <c r="M141" s="89">
        <v>7.4999999999999993E-5</v>
      </c>
      <c r="N141" s="89">
        <v>8.2999999999999998E-5</v>
      </c>
      <c r="O141" s="89">
        <v>9.2E-5</v>
      </c>
      <c r="P141" s="89">
        <v>1.01E-4</v>
      </c>
      <c r="Q141" s="89">
        <v>1.0900000000000001E-4</v>
      </c>
      <c r="R141" s="89">
        <v>1.17E-4</v>
      </c>
      <c r="S141" s="89">
        <v>1.25E-4</v>
      </c>
      <c r="T141" s="89">
        <v>1.3200000000000001E-4</v>
      </c>
      <c r="U141" s="89">
        <v>1.3899999999999999E-4</v>
      </c>
      <c r="V141" s="89">
        <v>1.45E-4</v>
      </c>
      <c r="W141" s="89">
        <v>1.5100000000000001E-4</v>
      </c>
      <c r="X141" s="89">
        <v>1.5699999999999999E-4</v>
      </c>
      <c r="Y141" s="89">
        <v>1.6200000000000001E-4</v>
      </c>
      <c r="Z141" s="89">
        <v>1.6699999999999999E-4</v>
      </c>
      <c r="AA141" s="89">
        <v>1.7200000000000001E-4</v>
      </c>
      <c r="AB141" s="89">
        <v>1.7799999999999999E-4</v>
      </c>
      <c r="AC141" s="89">
        <v>1.83E-4</v>
      </c>
      <c r="AD141" s="89">
        <v>1.8900000000000001E-4</v>
      </c>
      <c r="AE141" s="89">
        <v>1.95E-4</v>
      </c>
      <c r="AF141" s="89" t="s">
        <v>163</v>
      </c>
    </row>
    <row r="142" spans="1:32" x14ac:dyDescent="0.35">
      <c r="A142" s="97" t="s">
        <v>162</v>
      </c>
      <c r="B142" s="89">
        <v>5.4503000000000003E-2</v>
      </c>
      <c r="C142" s="89">
        <v>5.4503000000000003E-2</v>
      </c>
      <c r="D142" s="89">
        <v>5.4503000000000003E-2</v>
      </c>
      <c r="E142" s="89">
        <v>5.4503000000000003E-2</v>
      </c>
      <c r="F142" s="89">
        <v>5.4503000000000003E-2</v>
      </c>
      <c r="G142" s="89">
        <v>5.4503000000000003E-2</v>
      </c>
      <c r="H142" s="89">
        <v>5.4503000000000003E-2</v>
      </c>
      <c r="I142" s="89">
        <v>5.4503000000000003E-2</v>
      </c>
      <c r="J142" s="89">
        <v>5.4503000000000003E-2</v>
      </c>
      <c r="K142" s="89">
        <v>5.4503000000000003E-2</v>
      </c>
      <c r="L142" s="89">
        <v>5.4503000000000003E-2</v>
      </c>
      <c r="M142" s="89">
        <v>5.4503000000000003E-2</v>
      </c>
      <c r="N142" s="89">
        <v>5.4503000000000003E-2</v>
      </c>
      <c r="O142" s="89">
        <v>5.4503000000000003E-2</v>
      </c>
      <c r="P142" s="89">
        <v>5.4503000000000003E-2</v>
      </c>
      <c r="Q142" s="89">
        <v>5.4503000000000003E-2</v>
      </c>
      <c r="R142" s="89">
        <v>5.4503000000000003E-2</v>
      </c>
      <c r="S142" s="89">
        <v>5.4503000000000003E-2</v>
      </c>
      <c r="T142" s="89">
        <v>5.4503000000000003E-2</v>
      </c>
      <c r="U142" s="89">
        <v>5.4503000000000003E-2</v>
      </c>
      <c r="V142" s="89">
        <v>5.4503000000000003E-2</v>
      </c>
      <c r="W142" s="89">
        <v>5.4503000000000003E-2</v>
      </c>
      <c r="X142" s="89">
        <v>5.4503000000000003E-2</v>
      </c>
      <c r="Y142" s="89">
        <v>5.4503000000000003E-2</v>
      </c>
      <c r="Z142" s="89">
        <v>5.4503000000000003E-2</v>
      </c>
      <c r="AA142" s="89">
        <v>5.4503000000000003E-2</v>
      </c>
      <c r="AB142" s="89">
        <v>5.4503000000000003E-2</v>
      </c>
      <c r="AC142" s="89">
        <v>5.4503000000000003E-2</v>
      </c>
      <c r="AD142" s="89">
        <v>5.4503000000000003E-2</v>
      </c>
      <c r="AE142" s="89">
        <v>5.4503000000000003E-2</v>
      </c>
      <c r="AF142" s="88">
        <v>0</v>
      </c>
    </row>
    <row r="143" spans="1:32" x14ac:dyDescent="0.35">
      <c r="A143" s="97" t="s">
        <v>161</v>
      </c>
      <c r="B143" s="89">
        <v>4.5747000000000003E-2</v>
      </c>
      <c r="C143" s="89">
        <v>5.1067000000000001E-2</v>
      </c>
      <c r="D143" s="89">
        <v>5.1104999999999998E-2</v>
      </c>
      <c r="E143" s="89">
        <v>4.1811000000000001E-2</v>
      </c>
      <c r="F143" s="89">
        <v>4.0568E-2</v>
      </c>
      <c r="G143" s="89">
        <v>4.1489999999999999E-2</v>
      </c>
      <c r="H143" s="89">
        <v>4.1634999999999998E-2</v>
      </c>
      <c r="I143" s="89">
        <v>3.7007999999999999E-2</v>
      </c>
      <c r="J143" s="89">
        <v>3.6201999999999998E-2</v>
      </c>
      <c r="K143" s="89">
        <v>3.5511000000000001E-2</v>
      </c>
      <c r="L143" s="89">
        <v>3.705E-2</v>
      </c>
      <c r="M143" s="89">
        <v>3.9158999999999999E-2</v>
      </c>
      <c r="N143" s="89">
        <v>3.7723E-2</v>
      </c>
      <c r="O143" s="89">
        <v>3.6665999999999997E-2</v>
      </c>
      <c r="P143" s="89">
        <v>3.8143000000000003E-2</v>
      </c>
      <c r="Q143" s="89">
        <v>3.9217000000000002E-2</v>
      </c>
      <c r="R143" s="89">
        <v>3.764E-2</v>
      </c>
      <c r="S143" s="89">
        <v>3.8610999999999999E-2</v>
      </c>
      <c r="T143" s="89">
        <v>4.0467999999999997E-2</v>
      </c>
      <c r="U143" s="89">
        <v>3.7422999999999998E-2</v>
      </c>
      <c r="V143" s="89">
        <v>3.7511999999999997E-2</v>
      </c>
      <c r="W143" s="89">
        <v>3.6853999999999998E-2</v>
      </c>
      <c r="X143" s="89">
        <v>3.5243999999999998E-2</v>
      </c>
      <c r="Y143" s="89">
        <v>3.3843999999999999E-2</v>
      </c>
      <c r="Z143" s="89">
        <v>3.2925999999999997E-2</v>
      </c>
      <c r="AA143" s="89">
        <v>3.3697999999999999E-2</v>
      </c>
      <c r="AB143" s="89">
        <v>3.4236999999999997E-2</v>
      </c>
      <c r="AC143" s="89">
        <v>3.4647999999999998E-2</v>
      </c>
      <c r="AD143" s="89">
        <v>3.5323E-2</v>
      </c>
      <c r="AE143" s="89">
        <v>3.7286E-2</v>
      </c>
      <c r="AF143" s="88">
        <v>-1.0999999999999999E-2</v>
      </c>
    </row>
    <row r="144" spans="1:32" x14ac:dyDescent="0.35">
      <c r="A144" s="98" t="s">
        <v>160</v>
      </c>
      <c r="B144" s="93">
        <v>3.2659959999999999</v>
      </c>
      <c r="C144" s="93">
        <v>3.1512989999999999</v>
      </c>
      <c r="D144" s="93">
        <v>3.2174749999999999</v>
      </c>
      <c r="E144" s="93">
        <v>3.2439770000000001</v>
      </c>
      <c r="F144" s="93">
        <v>3.224364</v>
      </c>
      <c r="G144" s="93">
        <v>3.2586930000000001</v>
      </c>
      <c r="H144" s="93">
        <v>3.2878029999999998</v>
      </c>
      <c r="I144" s="93">
        <v>3.2984960000000001</v>
      </c>
      <c r="J144" s="93">
        <v>3.2975050000000001</v>
      </c>
      <c r="K144" s="93">
        <v>3.2813629999999998</v>
      </c>
      <c r="L144" s="93">
        <v>3.273746</v>
      </c>
      <c r="M144" s="93">
        <v>3.2534960000000002</v>
      </c>
      <c r="N144" s="93">
        <v>3.2367720000000002</v>
      </c>
      <c r="O144" s="93">
        <v>3.220812</v>
      </c>
      <c r="P144" s="93">
        <v>3.2102330000000001</v>
      </c>
      <c r="Q144" s="93">
        <v>3.1889080000000001</v>
      </c>
      <c r="R144" s="93">
        <v>3.188428</v>
      </c>
      <c r="S144" s="93">
        <v>3.1937540000000002</v>
      </c>
      <c r="T144" s="93">
        <v>3.1751309999999999</v>
      </c>
      <c r="U144" s="93">
        <v>3.1740569999999999</v>
      </c>
      <c r="V144" s="93">
        <v>3.1783890000000001</v>
      </c>
      <c r="W144" s="93">
        <v>3.1786500000000002</v>
      </c>
      <c r="X144" s="93">
        <v>3.1920570000000001</v>
      </c>
      <c r="Y144" s="93">
        <v>3.2003439999999999</v>
      </c>
      <c r="Z144" s="93">
        <v>3.1971750000000001</v>
      </c>
      <c r="AA144" s="93">
        <v>3.2067839999999999</v>
      </c>
      <c r="AB144" s="93">
        <v>3.2173609999999999</v>
      </c>
      <c r="AC144" s="93">
        <v>3.223211</v>
      </c>
      <c r="AD144" s="93">
        <v>3.226594</v>
      </c>
      <c r="AE144" s="93">
        <v>3.2227060000000001</v>
      </c>
      <c r="AF144" s="92">
        <v>1E-3</v>
      </c>
    </row>
    <row r="145" spans="1:32" x14ac:dyDescent="0.35">
      <c r="A145" s="97"/>
    </row>
    <row r="146" spans="1:32" x14ac:dyDescent="0.35">
      <c r="A146" s="98" t="s">
        <v>159</v>
      </c>
    </row>
    <row r="147" spans="1:32" x14ac:dyDescent="0.35">
      <c r="A147" s="97" t="s">
        <v>158</v>
      </c>
      <c r="B147" s="89">
        <v>2.5079950000000002</v>
      </c>
      <c r="C147" s="89">
        <v>2.4380380000000001</v>
      </c>
      <c r="D147" s="89">
        <v>2.5230100000000002</v>
      </c>
      <c r="E147" s="89">
        <v>2.5390869999999999</v>
      </c>
      <c r="F147" s="89">
        <v>2.5278749999999999</v>
      </c>
      <c r="G147" s="89">
        <v>2.5434049999999999</v>
      </c>
      <c r="H147" s="89">
        <v>2.5501269999999998</v>
      </c>
      <c r="I147" s="89">
        <v>2.5473430000000001</v>
      </c>
      <c r="J147" s="89">
        <v>2.540616</v>
      </c>
      <c r="K147" s="89">
        <v>2.5315699999999999</v>
      </c>
      <c r="L147" s="89">
        <v>2.523139</v>
      </c>
      <c r="M147" s="89">
        <v>2.5150800000000002</v>
      </c>
      <c r="N147" s="89">
        <v>2.507676</v>
      </c>
      <c r="O147" s="89">
        <v>2.4982839999999999</v>
      </c>
      <c r="P147" s="89">
        <v>2.4889670000000002</v>
      </c>
      <c r="Q147" s="89">
        <v>2.4808599999999998</v>
      </c>
      <c r="R147" s="89">
        <v>2.4718659999999999</v>
      </c>
      <c r="S147" s="89">
        <v>2.4644140000000001</v>
      </c>
      <c r="T147" s="89">
        <v>2.4579629999999999</v>
      </c>
      <c r="U147" s="89">
        <v>2.4535659999999999</v>
      </c>
      <c r="V147" s="89">
        <v>2.4529589999999999</v>
      </c>
      <c r="W147" s="89">
        <v>2.4544009999999998</v>
      </c>
      <c r="X147" s="89">
        <v>2.458942</v>
      </c>
      <c r="Y147" s="89">
        <v>2.4648129999999999</v>
      </c>
      <c r="Z147" s="89">
        <v>2.470564</v>
      </c>
      <c r="AA147" s="89">
        <v>2.4790410000000001</v>
      </c>
      <c r="AB147" s="89">
        <v>2.4897109999999998</v>
      </c>
      <c r="AC147" s="89">
        <v>2.5011100000000002</v>
      </c>
      <c r="AD147" s="89">
        <v>2.51064</v>
      </c>
      <c r="AE147" s="89">
        <v>2.5188060000000001</v>
      </c>
      <c r="AF147" s="88">
        <v>1E-3</v>
      </c>
    </row>
    <row r="148" spans="1:32" x14ac:dyDescent="0.35">
      <c r="A148" s="97" t="s">
        <v>157</v>
      </c>
      <c r="B148" s="89">
        <v>3.2659959999999999</v>
      </c>
      <c r="C148" s="89">
        <v>3.1512989999999999</v>
      </c>
      <c r="D148" s="89">
        <v>3.2174749999999999</v>
      </c>
      <c r="E148" s="89">
        <v>3.2439770000000001</v>
      </c>
      <c r="F148" s="89">
        <v>3.224364</v>
      </c>
      <c r="G148" s="89">
        <v>3.2586930000000001</v>
      </c>
      <c r="H148" s="89">
        <v>3.2878029999999998</v>
      </c>
      <c r="I148" s="89">
        <v>3.2984960000000001</v>
      </c>
      <c r="J148" s="89">
        <v>3.2975050000000001</v>
      </c>
      <c r="K148" s="89">
        <v>3.2813629999999998</v>
      </c>
      <c r="L148" s="89">
        <v>3.273746</v>
      </c>
      <c r="M148" s="89">
        <v>3.2534960000000002</v>
      </c>
      <c r="N148" s="89">
        <v>3.2367720000000002</v>
      </c>
      <c r="O148" s="89">
        <v>3.220812</v>
      </c>
      <c r="P148" s="89">
        <v>3.2102330000000001</v>
      </c>
      <c r="Q148" s="89">
        <v>3.1889080000000001</v>
      </c>
      <c r="R148" s="89">
        <v>3.188428</v>
      </c>
      <c r="S148" s="89">
        <v>3.1937540000000002</v>
      </c>
      <c r="T148" s="89">
        <v>3.1751309999999999</v>
      </c>
      <c r="U148" s="89">
        <v>3.1740569999999999</v>
      </c>
      <c r="V148" s="89">
        <v>3.1783890000000001</v>
      </c>
      <c r="W148" s="89">
        <v>3.1786500000000002</v>
      </c>
      <c r="X148" s="89">
        <v>3.1920570000000001</v>
      </c>
      <c r="Y148" s="89">
        <v>3.2003439999999999</v>
      </c>
      <c r="Z148" s="89">
        <v>3.1971750000000001</v>
      </c>
      <c r="AA148" s="89">
        <v>3.2067839999999999</v>
      </c>
      <c r="AB148" s="89">
        <v>3.2173609999999999</v>
      </c>
      <c r="AC148" s="89">
        <v>3.223211</v>
      </c>
      <c r="AD148" s="89">
        <v>3.226594</v>
      </c>
      <c r="AE148" s="89">
        <v>3.2227060000000001</v>
      </c>
      <c r="AF148" s="88">
        <v>1E-3</v>
      </c>
    </row>
    <row r="149" spans="1:32" x14ac:dyDescent="0.35">
      <c r="A149" s="97" t="s">
        <v>156</v>
      </c>
      <c r="B149" s="89">
        <v>5.4886999999999998E-2</v>
      </c>
      <c r="C149" s="89">
        <v>5.5028000000000001E-2</v>
      </c>
      <c r="D149" s="89">
        <v>5.5289999999999999E-2</v>
      </c>
      <c r="E149" s="89">
        <v>5.4808000000000003E-2</v>
      </c>
      <c r="F149" s="89">
        <v>5.4851999999999998E-2</v>
      </c>
      <c r="G149" s="89">
        <v>5.5287000000000003E-2</v>
      </c>
      <c r="H149" s="89">
        <v>5.5060999999999999E-2</v>
      </c>
      <c r="I149" s="89">
        <v>5.6288999999999999E-2</v>
      </c>
      <c r="J149" s="89">
        <v>5.7079999999999999E-2</v>
      </c>
      <c r="K149" s="89">
        <v>6.0663000000000002E-2</v>
      </c>
      <c r="L149" s="89">
        <v>6.3913999999999999E-2</v>
      </c>
      <c r="M149" s="89">
        <v>6.6039E-2</v>
      </c>
      <c r="N149" s="89">
        <v>6.6338999999999995E-2</v>
      </c>
      <c r="O149" s="89">
        <v>6.6236000000000003E-2</v>
      </c>
      <c r="P149" s="89">
        <v>6.6016000000000005E-2</v>
      </c>
      <c r="Q149" s="89">
        <v>6.5779000000000004E-2</v>
      </c>
      <c r="R149" s="89">
        <v>6.5705E-2</v>
      </c>
      <c r="S149" s="89">
        <v>6.5661999999999998E-2</v>
      </c>
      <c r="T149" s="89">
        <v>6.5567E-2</v>
      </c>
      <c r="U149" s="89">
        <v>7.1276000000000006E-2</v>
      </c>
      <c r="V149" s="89">
        <v>8.6260000000000003E-2</v>
      </c>
      <c r="W149" s="89">
        <v>0.107927</v>
      </c>
      <c r="X149" s="89">
        <v>0.111563</v>
      </c>
      <c r="Y149" s="89">
        <v>0.112161</v>
      </c>
      <c r="Z149" s="89">
        <v>0.112958</v>
      </c>
      <c r="AA149" s="89">
        <v>0.114213</v>
      </c>
      <c r="AB149" s="89">
        <v>0.111952</v>
      </c>
      <c r="AC149" s="89">
        <v>0.113694</v>
      </c>
      <c r="AD149" s="89">
        <v>0.11526699999999999</v>
      </c>
      <c r="AE149" s="89">
        <v>0.116993</v>
      </c>
      <c r="AF149" s="88">
        <v>2.7E-2</v>
      </c>
    </row>
    <row r="150" spans="1:32" x14ac:dyDescent="0.35">
      <c r="A150" s="97" t="s">
        <v>155</v>
      </c>
      <c r="B150" s="89">
        <v>14.542135</v>
      </c>
      <c r="C150" s="89">
        <v>14.575314000000001</v>
      </c>
      <c r="D150" s="89">
        <v>14.6111</v>
      </c>
      <c r="E150" s="89">
        <v>14.643744</v>
      </c>
      <c r="F150" s="89">
        <v>14.674866</v>
      </c>
      <c r="G150" s="89">
        <v>14.704489000000001</v>
      </c>
      <c r="H150" s="89">
        <v>14.732697</v>
      </c>
      <c r="I150" s="89">
        <v>14.759992</v>
      </c>
      <c r="J150" s="89">
        <v>14.786314000000001</v>
      </c>
      <c r="K150" s="89">
        <v>14.811368</v>
      </c>
      <c r="L150" s="89">
        <v>14.834687000000001</v>
      </c>
      <c r="M150" s="89">
        <v>14.85608</v>
      </c>
      <c r="N150" s="89">
        <v>14.875533000000001</v>
      </c>
      <c r="O150" s="89">
        <v>14.893064000000001</v>
      </c>
      <c r="P150" s="89">
        <v>14.908417999999999</v>
      </c>
      <c r="Q150" s="89">
        <v>14.921469999999999</v>
      </c>
      <c r="R150" s="89">
        <v>14.932448000000001</v>
      </c>
      <c r="S150" s="89">
        <v>14.941178000000001</v>
      </c>
      <c r="T150" s="89">
        <v>14.94746</v>
      </c>
      <c r="U150" s="89">
        <v>14.951105999999999</v>
      </c>
      <c r="V150" s="89">
        <v>14.951492</v>
      </c>
      <c r="W150" s="89">
        <v>14.948691999999999</v>
      </c>
      <c r="X150" s="89">
        <v>14.942831999999999</v>
      </c>
      <c r="Y150" s="89">
        <v>14.934068</v>
      </c>
      <c r="Z150" s="89">
        <v>14.922345999999999</v>
      </c>
      <c r="AA150" s="89">
        <v>14.907643999999999</v>
      </c>
      <c r="AB150" s="89">
        <v>14.890253</v>
      </c>
      <c r="AC150" s="89">
        <v>14.870361000000001</v>
      </c>
      <c r="AD150" s="89">
        <v>14.848119000000001</v>
      </c>
      <c r="AE150" s="89">
        <v>14.823562000000001</v>
      </c>
      <c r="AF150" s="88">
        <v>1E-3</v>
      </c>
    </row>
    <row r="151" spans="1:32" x14ac:dyDescent="0.35">
      <c r="A151" s="97" t="s">
        <v>154</v>
      </c>
      <c r="B151" s="89">
        <v>13299.099609000001</v>
      </c>
      <c r="C151" s="89">
        <v>13593.200194999999</v>
      </c>
      <c r="D151" s="89">
        <v>13843.392578000001</v>
      </c>
      <c r="E151" s="89">
        <v>14231.582031</v>
      </c>
      <c r="F151" s="89">
        <v>14692.709961</v>
      </c>
      <c r="G151" s="89">
        <v>15153.919921999999</v>
      </c>
      <c r="H151" s="89">
        <v>15588.969727</v>
      </c>
      <c r="I151" s="89">
        <v>15987.412109000001</v>
      </c>
      <c r="J151" s="89">
        <v>16377.684569999999</v>
      </c>
      <c r="K151" s="89">
        <v>16753.240234000001</v>
      </c>
      <c r="L151" s="89">
        <v>17112.894531000002</v>
      </c>
      <c r="M151" s="89">
        <v>17486.972656000002</v>
      </c>
      <c r="N151" s="89">
        <v>17885.039062</v>
      </c>
      <c r="O151" s="89">
        <v>18316.117188</v>
      </c>
      <c r="P151" s="89">
        <v>18768.857422000001</v>
      </c>
      <c r="Q151" s="89">
        <v>19231.982422000001</v>
      </c>
      <c r="R151" s="89">
        <v>19689.501952999999</v>
      </c>
      <c r="S151" s="89">
        <v>20153.626952999999</v>
      </c>
      <c r="T151" s="89">
        <v>20637.390625</v>
      </c>
      <c r="U151" s="89">
        <v>21138.537109000001</v>
      </c>
      <c r="V151" s="89">
        <v>21638.835938</v>
      </c>
      <c r="W151" s="89">
        <v>22138.908202999999</v>
      </c>
      <c r="X151" s="89">
        <v>22659.328125</v>
      </c>
      <c r="Y151" s="89">
        <v>23200.261718999998</v>
      </c>
      <c r="Z151" s="89">
        <v>23750.695312</v>
      </c>
      <c r="AA151" s="89">
        <v>24315.132812</v>
      </c>
      <c r="AB151" s="89">
        <v>24888.435547000001</v>
      </c>
      <c r="AC151" s="89">
        <v>25477.314452999999</v>
      </c>
      <c r="AD151" s="89">
        <v>26063.148438</v>
      </c>
      <c r="AE151" s="89">
        <v>26670.4375</v>
      </c>
      <c r="AF151" s="88">
        <v>2.4E-2</v>
      </c>
    </row>
    <row r="152" spans="1:32" x14ac:dyDescent="0.35">
      <c r="A152" s="98" t="s">
        <v>153</v>
      </c>
    </row>
    <row r="153" spans="1:32" x14ac:dyDescent="0.35">
      <c r="A153" s="97" t="s">
        <v>152</v>
      </c>
      <c r="B153" s="89">
        <v>158.02415500000001</v>
      </c>
      <c r="C153" s="89">
        <v>150.944061</v>
      </c>
      <c r="D153" s="89">
        <v>154.674622</v>
      </c>
      <c r="E153" s="89">
        <v>156.20562699999999</v>
      </c>
      <c r="F153" s="89">
        <v>154.44189499999999</v>
      </c>
      <c r="G153" s="89">
        <v>152.35734600000001</v>
      </c>
      <c r="H153" s="89">
        <v>154.128693</v>
      </c>
      <c r="I153" s="89">
        <v>155.315887</v>
      </c>
      <c r="J153" s="89">
        <v>155.199951</v>
      </c>
      <c r="K153" s="89">
        <v>153.97305299999999</v>
      </c>
      <c r="L153" s="89">
        <v>152.80587800000001</v>
      </c>
      <c r="M153" s="89">
        <v>151.203644</v>
      </c>
      <c r="N153" s="89">
        <v>149.848602</v>
      </c>
      <c r="O153" s="89">
        <v>148.67482000000001</v>
      </c>
      <c r="P153" s="89">
        <v>147.67590300000001</v>
      </c>
      <c r="Q153" s="89">
        <v>146.077438</v>
      </c>
      <c r="R153" s="89">
        <v>146.794724</v>
      </c>
      <c r="S153" s="89">
        <v>146.73751799999999</v>
      </c>
      <c r="T153" s="89">
        <v>145.431061</v>
      </c>
      <c r="U153" s="89">
        <v>145.30746500000001</v>
      </c>
      <c r="V153" s="89">
        <v>145.263214</v>
      </c>
      <c r="W153" s="89">
        <v>144.739487</v>
      </c>
      <c r="X153" s="89">
        <v>145.259872</v>
      </c>
      <c r="Y153" s="89">
        <v>145.44006300000001</v>
      </c>
      <c r="Z153" s="89">
        <v>145.06665000000001</v>
      </c>
      <c r="AA153" s="89">
        <v>145.29904199999999</v>
      </c>
      <c r="AB153" s="89">
        <v>145.44090299999999</v>
      </c>
      <c r="AC153" s="89">
        <v>145.745453</v>
      </c>
      <c r="AD153" s="89">
        <v>145.70468099999999</v>
      </c>
      <c r="AE153" s="89">
        <v>145.16776999999999</v>
      </c>
      <c r="AF153" s="88">
        <v>-1E-3</v>
      </c>
    </row>
    <row r="154" spans="1:32" s="87" customFormat="1" ht="15" customHeight="1" x14ac:dyDescent="0.35">
      <c r="A154" s="484" t="s">
        <v>151</v>
      </c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  <c r="AA154" s="484"/>
      <c r="AB154" s="484"/>
      <c r="AC154" s="484"/>
      <c r="AD154" s="484"/>
      <c r="AE154" s="484"/>
      <c r="AF154" s="484"/>
    </row>
    <row r="155" spans="1:32" ht="15" customHeight="1" x14ac:dyDescent="0.35">
      <c r="A155" s="481" t="s">
        <v>150</v>
      </c>
      <c r="B155" s="481"/>
      <c r="C155" s="481"/>
      <c r="D155" s="481"/>
      <c r="E155" s="481"/>
      <c r="F155" s="481"/>
      <c r="G155" s="481"/>
      <c r="H155" s="481"/>
      <c r="I155" s="481"/>
      <c r="J155" s="481"/>
      <c r="K155" s="481"/>
      <c r="L155" s="481"/>
      <c r="M155" s="481"/>
      <c r="N155" s="481"/>
      <c r="O155" s="481"/>
      <c r="P155" s="481"/>
      <c r="Q155" s="481"/>
      <c r="R155" s="481"/>
      <c r="S155" s="481"/>
      <c r="T155" s="481"/>
      <c r="U155" s="481"/>
      <c r="V155" s="481"/>
      <c r="W155" s="481"/>
      <c r="X155" s="481"/>
      <c r="Y155" s="481"/>
      <c r="Z155" s="481"/>
      <c r="AA155" s="481"/>
      <c r="AB155" s="481"/>
      <c r="AC155" s="481"/>
      <c r="AD155" s="481"/>
      <c r="AE155" s="481"/>
      <c r="AF155" s="481"/>
    </row>
    <row r="156" spans="1:32" ht="15" customHeight="1" x14ac:dyDescent="0.35">
      <c r="A156" s="481" t="s">
        <v>149</v>
      </c>
      <c r="B156" s="481"/>
      <c r="C156" s="481"/>
      <c r="D156" s="481"/>
      <c r="E156" s="481"/>
      <c r="F156" s="481"/>
      <c r="G156" s="481"/>
      <c r="H156" s="481"/>
      <c r="I156" s="481"/>
      <c r="J156" s="481"/>
      <c r="K156" s="481"/>
      <c r="L156" s="481"/>
      <c r="M156" s="481"/>
      <c r="N156" s="481"/>
      <c r="O156" s="481"/>
      <c r="P156" s="481"/>
      <c r="Q156" s="481"/>
      <c r="R156" s="481"/>
      <c r="S156" s="481"/>
      <c r="T156" s="481"/>
      <c r="U156" s="481"/>
      <c r="V156" s="481"/>
      <c r="W156" s="481"/>
      <c r="X156" s="481"/>
      <c r="Y156" s="481"/>
      <c r="Z156" s="481"/>
      <c r="AA156" s="481"/>
      <c r="AB156" s="481"/>
      <c r="AC156" s="481"/>
      <c r="AD156" s="481"/>
      <c r="AE156" s="481"/>
      <c r="AF156" s="481"/>
    </row>
    <row r="157" spans="1:32" ht="15" customHeight="1" x14ac:dyDescent="0.35">
      <c r="A157" s="481" t="s">
        <v>148</v>
      </c>
      <c r="B157" s="481"/>
      <c r="C157" s="481"/>
      <c r="D157" s="481"/>
      <c r="E157" s="481"/>
      <c r="F157" s="481"/>
      <c r="G157" s="481"/>
      <c r="H157" s="481"/>
      <c r="I157" s="481"/>
      <c r="J157" s="481"/>
      <c r="K157" s="481"/>
      <c r="L157" s="481"/>
      <c r="M157" s="481"/>
      <c r="N157" s="481"/>
      <c r="O157" s="481"/>
      <c r="P157" s="481"/>
      <c r="Q157" s="481"/>
      <c r="R157" s="481"/>
      <c r="S157" s="481"/>
      <c r="T157" s="481"/>
      <c r="U157" s="481"/>
      <c r="V157" s="481"/>
      <c r="W157" s="481"/>
      <c r="X157" s="481"/>
      <c r="Y157" s="481"/>
      <c r="Z157" s="481"/>
      <c r="AA157" s="481"/>
      <c r="AB157" s="481"/>
      <c r="AC157" s="481"/>
      <c r="AD157" s="481"/>
      <c r="AE157" s="481"/>
      <c r="AF157" s="481"/>
    </row>
    <row r="158" spans="1:32" ht="15" customHeight="1" x14ac:dyDescent="0.35">
      <c r="A158" s="481" t="s">
        <v>147</v>
      </c>
      <c r="B158" s="481"/>
      <c r="C158" s="481"/>
      <c r="D158" s="481"/>
      <c r="E158" s="481"/>
      <c r="F158" s="481"/>
      <c r="G158" s="481"/>
      <c r="H158" s="481"/>
      <c r="I158" s="481"/>
      <c r="J158" s="481"/>
      <c r="K158" s="481"/>
      <c r="L158" s="481"/>
      <c r="M158" s="481"/>
      <c r="N158" s="481"/>
      <c r="O158" s="481"/>
      <c r="P158" s="481"/>
      <c r="Q158" s="481"/>
      <c r="R158" s="481"/>
      <c r="S158" s="481"/>
      <c r="T158" s="481"/>
      <c r="U158" s="481"/>
      <c r="V158" s="481"/>
      <c r="W158" s="481"/>
      <c r="X158" s="481"/>
      <c r="Y158" s="481"/>
      <c r="Z158" s="481"/>
      <c r="AA158" s="481"/>
      <c r="AB158" s="481"/>
      <c r="AC158" s="481"/>
      <c r="AD158" s="481"/>
      <c r="AE158" s="481"/>
      <c r="AF158" s="481"/>
    </row>
    <row r="159" spans="1:32" ht="15" customHeight="1" x14ac:dyDescent="0.35">
      <c r="A159" s="481" t="s">
        <v>146</v>
      </c>
      <c r="B159" s="481"/>
      <c r="C159" s="481"/>
      <c r="D159" s="481"/>
      <c r="E159" s="481"/>
      <c r="F159" s="481"/>
      <c r="G159" s="481"/>
      <c r="H159" s="481"/>
      <c r="I159" s="481"/>
      <c r="J159" s="481"/>
      <c r="K159" s="481"/>
      <c r="L159" s="481"/>
      <c r="M159" s="481"/>
      <c r="N159" s="481"/>
      <c r="O159" s="481"/>
      <c r="P159" s="481"/>
      <c r="Q159" s="481"/>
      <c r="R159" s="481"/>
      <c r="S159" s="481"/>
      <c r="T159" s="481"/>
      <c r="U159" s="481"/>
      <c r="V159" s="481"/>
      <c r="W159" s="481"/>
      <c r="X159" s="481"/>
      <c r="Y159" s="481"/>
      <c r="Z159" s="481"/>
      <c r="AA159" s="481"/>
      <c r="AB159" s="481"/>
      <c r="AC159" s="481"/>
      <c r="AD159" s="481"/>
      <c r="AE159" s="481"/>
      <c r="AF159" s="481"/>
    </row>
    <row r="160" spans="1:32" ht="15" customHeight="1" x14ac:dyDescent="0.35">
      <c r="A160" s="481" t="s">
        <v>145</v>
      </c>
      <c r="B160" s="481"/>
      <c r="C160" s="481"/>
      <c r="D160" s="481"/>
      <c r="E160" s="481"/>
      <c r="F160" s="481"/>
      <c r="G160" s="481"/>
      <c r="H160" s="481"/>
      <c r="I160" s="481"/>
      <c r="J160" s="481"/>
      <c r="K160" s="481"/>
      <c r="L160" s="481"/>
      <c r="M160" s="481"/>
      <c r="N160" s="481"/>
      <c r="O160" s="481"/>
      <c r="P160" s="481"/>
      <c r="Q160" s="481"/>
      <c r="R160" s="481"/>
      <c r="S160" s="481"/>
      <c r="T160" s="481"/>
      <c r="U160" s="481"/>
      <c r="V160" s="481"/>
      <c r="W160" s="481"/>
      <c r="X160" s="481"/>
      <c r="Y160" s="481"/>
      <c r="Z160" s="481"/>
      <c r="AA160" s="481"/>
      <c r="AB160" s="481"/>
      <c r="AC160" s="481"/>
      <c r="AD160" s="481"/>
      <c r="AE160" s="481"/>
      <c r="AF160" s="481"/>
    </row>
    <row r="161" spans="1:32" ht="15" customHeight="1" x14ac:dyDescent="0.35">
      <c r="A161" s="481" t="s">
        <v>144</v>
      </c>
      <c r="B161" s="481"/>
      <c r="C161" s="481"/>
      <c r="D161" s="481"/>
      <c r="E161" s="481"/>
      <c r="F161" s="481"/>
      <c r="G161" s="481"/>
      <c r="H161" s="481"/>
      <c r="I161" s="481"/>
      <c r="J161" s="481"/>
      <c r="K161" s="481"/>
      <c r="L161" s="481"/>
      <c r="M161" s="481"/>
      <c r="N161" s="481"/>
      <c r="O161" s="481"/>
      <c r="P161" s="481"/>
      <c r="Q161" s="481"/>
      <c r="R161" s="481"/>
      <c r="S161" s="481"/>
      <c r="T161" s="481"/>
      <c r="U161" s="481"/>
      <c r="V161" s="481"/>
      <c r="W161" s="481"/>
      <c r="X161" s="481"/>
      <c r="Y161" s="481"/>
      <c r="Z161" s="481"/>
      <c r="AA161" s="481"/>
      <c r="AB161" s="481"/>
      <c r="AC161" s="481"/>
      <c r="AD161" s="481"/>
      <c r="AE161" s="481"/>
      <c r="AF161" s="481"/>
    </row>
    <row r="162" spans="1:32" ht="15" customHeight="1" x14ac:dyDescent="0.35">
      <c r="A162" s="481" t="s">
        <v>143</v>
      </c>
      <c r="B162" s="481"/>
      <c r="C162" s="481"/>
      <c r="D162" s="481"/>
      <c r="E162" s="481"/>
      <c r="F162" s="481"/>
      <c r="G162" s="481"/>
      <c r="H162" s="481"/>
      <c r="I162" s="481"/>
      <c r="J162" s="481"/>
      <c r="K162" s="481"/>
      <c r="L162" s="481"/>
      <c r="M162" s="481"/>
      <c r="N162" s="481"/>
      <c r="O162" s="481"/>
      <c r="P162" s="481"/>
      <c r="Q162" s="481"/>
      <c r="R162" s="481"/>
      <c r="S162" s="481"/>
      <c r="T162" s="481"/>
      <c r="U162" s="481"/>
      <c r="V162" s="481"/>
      <c r="W162" s="481"/>
      <c r="X162" s="481"/>
      <c r="Y162" s="481"/>
      <c r="Z162" s="481"/>
      <c r="AA162" s="481"/>
      <c r="AB162" s="481"/>
      <c r="AC162" s="481"/>
      <c r="AD162" s="481"/>
      <c r="AE162" s="481"/>
      <c r="AF162" s="481"/>
    </row>
    <row r="163" spans="1:32" ht="15" customHeight="1" x14ac:dyDescent="0.35">
      <c r="A163" s="481" t="s">
        <v>142</v>
      </c>
      <c r="B163" s="481"/>
      <c r="C163" s="481"/>
      <c r="D163" s="481"/>
      <c r="E163" s="481"/>
      <c r="F163" s="481"/>
      <c r="G163" s="481"/>
      <c r="H163" s="481"/>
      <c r="I163" s="481"/>
      <c r="J163" s="481"/>
      <c r="K163" s="481"/>
      <c r="L163" s="481"/>
      <c r="M163" s="481"/>
      <c r="N163" s="481"/>
      <c r="O163" s="481"/>
      <c r="P163" s="481"/>
      <c r="Q163" s="481"/>
      <c r="R163" s="481"/>
      <c r="S163" s="481"/>
      <c r="T163" s="481"/>
      <c r="U163" s="481"/>
      <c r="V163" s="481"/>
      <c r="W163" s="481"/>
      <c r="X163" s="481"/>
      <c r="Y163" s="481"/>
      <c r="Z163" s="481"/>
      <c r="AA163" s="481"/>
      <c r="AB163" s="481"/>
      <c r="AC163" s="481"/>
      <c r="AD163" s="481"/>
      <c r="AE163" s="481"/>
      <c r="AF163" s="481"/>
    </row>
    <row r="164" spans="1:32" ht="15" customHeight="1" x14ac:dyDescent="0.35">
      <c r="A164" s="481" t="s">
        <v>141</v>
      </c>
      <c r="B164" s="481"/>
      <c r="C164" s="481"/>
      <c r="D164" s="481"/>
      <c r="E164" s="481"/>
      <c r="F164" s="481"/>
      <c r="G164" s="481"/>
      <c r="H164" s="481"/>
      <c r="I164" s="481"/>
      <c r="J164" s="481"/>
      <c r="K164" s="481"/>
      <c r="L164" s="481"/>
      <c r="M164" s="481"/>
      <c r="N164" s="481"/>
      <c r="O164" s="481"/>
      <c r="P164" s="481"/>
      <c r="Q164" s="481"/>
      <c r="R164" s="481"/>
      <c r="S164" s="481"/>
      <c r="T164" s="481"/>
      <c r="U164" s="481"/>
      <c r="V164" s="481"/>
      <c r="W164" s="481"/>
      <c r="X164" s="481"/>
      <c r="Y164" s="481"/>
      <c r="Z164" s="481"/>
      <c r="AA164" s="481"/>
      <c r="AB164" s="481"/>
      <c r="AC164" s="481"/>
      <c r="AD164" s="481"/>
      <c r="AE164" s="481"/>
      <c r="AF164" s="481"/>
    </row>
    <row r="165" spans="1:32" ht="15" customHeight="1" x14ac:dyDescent="0.35">
      <c r="A165" s="481" t="s">
        <v>140</v>
      </c>
      <c r="B165" s="481"/>
      <c r="C165" s="481"/>
      <c r="D165" s="481"/>
      <c r="E165" s="481"/>
      <c r="F165" s="481"/>
      <c r="G165" s="481"/>
      <c r="H165" s="481"/>
      <c r="I165" s="481"/>
      <c r="J165" s="481"/>
      <c r="K165" s="481"/>
      <c r="L165" s="481"/>
      <c r="M165" s="481"/>
      <c r="N165" s="481"/>
      <c r="O165" s="481"/>
      <c r="P165" s="481"/>
      <c r="Q165" s="481"/>
      <c r="R165" s="481"/>
      <c r="S165" s="481"/>
      <c r="T165" s="481"/>
      <c r="U165" s="481"/>
      <c r="V165" s="481"/>
      <c r="W165" s="481"/>
      <c r="X165" s="481"/>
      <c r="Y165" s="481"/>
      <c r="Z165" s="481"/>
      <c r="AA165" s="481"/>
      <c r="AB165" s="481"/>
      <c r="AC165" s="481"/>
      <c r="AD165" s="481"/>
      <c r="AE165" s="481"/>
      <c r="AF165" s="481"/>
    </row>
    <row r="166" spans="1:32" ht="15" customHeight="1" x14ac:dyDescent="0.35">
      <c r="A166" s="481" t="s">
        <v>139</v>
      </c>
      <c r="B166" s="481"/>
      <c r="C166" s="481"/>
      <c r="D166" s="481"/>
      <c r="E166" s="481"/>
      <c r="F166" s="481"/>
      <c r="G166" s="481"/>
      <c r="H166" s="481"/>
      <c r="I166" s="481"/>
      <c r="J166" s="481"/>
      <c r="K166" s="481"/>
      <c r="L166" s="481"/>
      <c r="M166" s="481"/>
      <c r="N166" s="481"/>
      <c r="O166" s="481"/>
      <c r="P166" s="481"/>
      <c r="Q166" s="481"/>
      <c r="R166" s="481"/>
      <c r="S166" s="481"/>
      <c r="T166" s="481"/>
      <c r="U166" s="481"/>
      <c r="V166" s="481"/>
      <c r="W166" s="481"/>
      <c r="X166" s="481"/>
      <c r="Y166" s="481"/>
      <c r="Z166" s="481"/>
      <c r="AA166" s="481"/>
      <c r="AB166" s="481"/>
      <c r="AC166" s="481"/>
      <c r="AD166" s="481"/>
      <c r="AE166" s="481"/>
      <c r="AF166" s="481"/>
    </row>
    <row r="167" spans="1:32" ht="15" customHeight="1" x14ac:dyDescent="0.35">
      <c r="A167" s="481" t="s">
        <v>138</v>
      </c>
      <c r="B167" s="481"/>
      <c r="C167" s="481"/>
      <c r="D167" s="481"/>
      <c r="E167" s="481"/>
      <c r="F167" s="481"/>
      <c r="G167" s="481"/>
      <c r="H167" s="481"/>
      <c r="I167" s="481"/>
      <c r="J167" s="481"/>
      <c r="K167" s="481"/>
      <c r="L167" s="481"/>
      <c r="M167" s="481"/>
      <c r="N167" s="481"/>
      <c r="O167" s="481"/>
      <c r="P167" s="481"/>
      <c r="Q167" s="481"/>
      <c r="R167" s="481"/>
      <c r="S167" s="481"/>
      <c r="T167" s="481"/>
      <c r="U167" s="481"/>
      <c r="V167" s="481"/>
      <c r="W167" s="481"/>
      <c r="X167" s="481"/>
      <c r="Y167" s="481"/>
      <c r="Z167" s="481"/>
      <c r="AA167" s="481"/>
      <c r="AB167" s="481"/>
      <c r="AC167" s="481"/>
      <c r="AD167" s="481"/>
      <c r="AE167" s="481"/>
      <c r="AF167" s="481"/>
    </row>
    <row r="168" spans="1:32" ht="15" customHeight="1" x14ac:dyDescent="0.35">
      <c r="A168" s="481" t="s">
        <v>137</v>
      </c>
      <c r="B168" s="481"/>
      <c r="C168" s="481"/>
      <c r="D168" s="481"/>
      <c r="E168" s="481"/>
      <c r="F168" s="481"/>
      <c r="G168" s="481"/>
      <c r="H168" s="481"/>
      <c r="I168" s="481"/>
      <c r="J168" s="481"/>
      <c r="K168" s="481"/>
      <c r="L168" s="481"/>
      <c r="M168" s="481"/>
      <c r="N168" s="481"/>
      <c r="O168" s="481"/>
      <c r="P168" s="481"/>
      <c r="Q168" s="481"/>
      <c r="R168" s="481"/>
      <c r="S168" s="481"/>
      <c r="T168" s="481"/>
      <c r="U168" s="481"/>
      <c r="V168" s="481"/>
      <c r="W168" s="481"/>
      <c r="X168" s="481"/>
      <c r="Y168" s="481"/>
      <c r="Z168" s="481"/>
      <c r="AA168" s="481"/>
      <c r="AB168" s="481"/>
      <c r="AC168" s="481"/>
      <c r="AD168" s="481"/>
      <c r="AE168" s="481"/>
      <c r="AF168" s="481"/>
    </row>
    <row r="169" spans="1:32" ht="15" customHeight="1" x14ac:dyDescent="0.35">
      <c r="A169" s="481" t="s">
        <v>136</v>
      </c>
      <c r="B169" s="481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  <c r="M169" s="481"/>
      <c r="N169" s="481"/>
      <c r="O169" s="481"/>
      <c r="P169" s="481"/>
      <c r="Q169" s="481"/>
      <c r="R169" s="481"/>
      <c r="S169" s="481"/>
      <c r="T169" s="481"/>
      <c r="U169" s="481"/>
      <c r="V169" s="481"/>
      <c r="W169" s="481"/>
      <c r="X169" s="481"/>
      <c r="Y169" s="481"/>
      <c r="Z169" s="481"/>
      <c r="AA169" s="481"/>
      <c r="AB169" s="481"/>
      <c r="AC169" s="481"/>
      <c r="AD169" s="481"/>
      <c r="AE169" s="481"/>
      <c r="AF169" s="481"/>
    </row>
    <row r="170" spans="1:32" ht="15" customHeight="1" x14ac:dyDescent="0.35">
      <c r="A170" s="481" t="s">
        <v>135</v>
      </c>
      <c r="B170" s="481"/>
      <c r="C170" s="481"/>
      <c r="D170" s="481"/>
      <c r="E170" s="481"/>
      <c r="F170" s="481"/>
      <c r="G170" s="481"/>
      <c r="H170" s="481"/>
      <c r="I170" s="481"/>
      <c r="J170" s="481"/>
      <c r="K170" s="481"/>
      <c r="L170" s="481"/>
      <c r="M170" s="481"/>
      <c r="N170" s="481"/>
      <c r="O170" s="481"/>
      <c r="P170" s="481"/>
      <c r="Q170" s="481"/>
      <c r="R170" s="481"/>
      <c r="S170" s="481"/>
      <c r="T170" s="481"/>
      <c r="U170" s="481"/>
      <c r="V170" s="481"/>
      <c r="W170" s="481"/>
      <c r="X170" s="481"/>
      <c r="Y170" s="481"/>
      <c r="Z170" s="481"/>
      <c r="AA170" s="481"/>
      <c r="AB170" s="481"/>
      <c r="AC170" s="481"/>
      <c r="AD170" s="481"/>
      <c r="AE170" s="481"/>
      <c r="AF170" s="481"/>
    </row>
    <row r="171" spans="1:32" ht="15" customHeight="1" x14ac:dyDescent="0.35">
      <c r="A171" s="481" t="s">
        <v>134</v>
      </c>
      <c r="B171" s="481"/>
      <c r="C171" s="481"/>
      <c r="D171" s="481"/>
      <c r="E171" s="481"/>
      <c r="F171" s="481"/>
      <c r="G171" s="481"/>
      <c r="H171" s="481"/>
      <c r="I171" s="481"/>
      <c r="J171" s="481"/>
      <c r="K171" s="481"/>
      <c r="L171" s="481"/>
      <c r="M171" s="481"/>
      <c r="N171" s="481"/>
      <c r="O171" s="481"/>
      <c r="P171" s="481"/>
      <c r="Q171" s="481"/>
      <c r="R171" s="481"/>
      <c r="S171" s="481"/>
      <c r="T171" s="481"/>
      <c r="U171" s="481"/>
      <c r="V171" s="481"/>
      <c r="W171" s="481"/>
      <c r="X171" s="481"/>
      <c r="Y171" s="481"/>
      <c r="Z171" s="481"/>
      <c r="AA171" s="481"/>
      <c r="AB171" s="481"/>
      <c r="AC171" s="481"/>
      <c r="AD171" s="481"/>
      <c r="AE171" s="481"/>
      <c r="AF171" s="481"/>
    </row>
    <row r="172" spans="1:32" ht="15" customHeight="1" x14ac:dyDescent="0.35">
      <c r="A172" s="481" t="s">
        <v>133</v>
      </c>
      <c r="B172" s="481"/>
      <c r="C172" s="481"/>
      <c r="D172" s="481"/>
      <c r="E172" s="481"/>
      <c r="F172" s="481"/>
      <c r="G172" s="481"/>
      <c r="H172" s="481"/>
      <c r="I172" s="481"/>
      <c r="J172" s="481"/>
      <c r="K172" s="481"/>
      <c r="L172" s="481"/>
      <c r="M172" s="481"/>
      <c r="N172" s="481"/>
      <c r="O172" s="481"/>
      <c r="P172" s="481"/>
      <c r="Q172" s="481"/>
      <c r="R172" s="481"/>
      <c r="S172" s="481"/>
      <c r="T172" s="481"/>
      <c r="U172" s="481"/>
      <c r="V172" s="481"/>
      <c r="W172" s="481"/>
      <c r="X172" s="481"/>
      <c r="Y172" s="481"/>
      <c r="Z172" s="481"/>
      <c r="AA172" s="481"/>
      <c r="AB172" s="481"/>
      <c r="AC172" s="481"/>
      <c r="AD172" s="481"/>
      <c r="AE172" s="481"/>
      <c r="AF172" s="481"/>
    </row>
    <row r="173" spans="1:32" ht="15" customHeight="1" x14ac:dyDescent="0.35">
      <c r="A173" s="481" t="s">
        <v>132</v>
      </c>
      <c r="B173" s="481"/>
      <c r="C173" s="481"/>
      <c r="D173" s="481"/>
      <c r="E173" s="481"/>
      <c r="F173" s="481"/>
      <c r="G173" s="481"/>
      <c r="H173" s="481"/>
      <c r="I173" s="481"/>
      <c r="J173" s="481"/>
      <c r="K173" s="481"/>
      <c r="L173" s="481"/>
      <c r="M173" s="481"/>
      <c r="N173" s="481"/>
      <c r="O173" s="481"/>
      <c r="P173" s="481"/>
      <c r="Q173" s="481"/>
      <c r="R173" s="481"/>
      <c r="S173" s="481"/>
      <c r="T173" s="481"/>
      <c r="U173" s="481"/>
      <c r="V173" s="481"/>
      <c r="W173" s="481"/>
      <c r="X173" s="481"/>
      <c r="Y173" s="481"/>
      <c r="Z173" s="481"/>
      <c r="AA173" s="481"/>
      <c r="AB173" s="481"/>
      <c r="AC173" s="481"/>
      <c r="AD173" s="481"/>
      <c r="AE173" s="481"/>
      <c r="AF173" s="481"/>
    </row>
    <row r="174" spans="1:32" ht="15" customHeight="1" x14ac:dyDescent="0.35">
      <c r="A174" s="481" t="s">
        <v>131</v>
      </c>
      <c r="B174" s="481"/>
      <c r="C174" s="481"/>
      <c r="D174" s="481"/>
      <c r="E174" s="481"/>
      <c r="F174" s="481"/>
      <c r="G174" s="481"/>
      <c r="H174" s="481"/>
      <c r="I174" s="481"/>
      <c r="J174" s="481"/>
      <c r="K174" s="481"/>
      <c r="L174" s="481"/>
      <c r="M174" s="481"/>
      <c r="N174" s="481"/>
      <c r="O174" s="481"/>
      <c r="P174" s="481"/>
      <c r="Q174" s="481"/>
      <c r="R174" s="481"/>
      <c r="S174" s="481"/>
      <c r="T174" s="481"/>
      <c r="U174" s="481"/>
      <c r="V174" s="481"/>
      <c r="W174" s="481"/>
      <c r="X174" s="481"/>
      <c r="Y174" s="481"/>
      <c r="Z174" s="481"/>
      <c r="AA174" s="481"/>
      <c r="AB174" s="481"/>
      <c r="AC174" s="481"/>
      <c r="AD174" s="481"/>
      <c r="AE174" s="481"/>
      <c r="AF174" s="481"/>
    </row>
    <row r="175" spans="1:32" ht="15" customHeight="1" x14ac:dyDescent="0.35">
      <c r="A175" s="481" t="s">
        <v>130</v>
      </c>
      <c r="B175" s="481"/>
      <c r="C175" s="481"/>
      <c r="D175" s="481"/>
      <c r="E175" s="481"/>
      <c r="F175" s="481"/>
      <c r="G175" s="481"/>
      <c r="H175" s="481"/>
      <c r="I175" s="481"/>
      <c r="J175" s="481"/>
      <c r="K175" s="481"/>
      <c r="L175" s="481"/>
      <c r="M175" s="481"/>
      <c r="N175" s="481"/>
      <c r="O175" s="481"/>
      <c r="P175" s="481"/>
      <c r="Q175" s="481"/>
      <c r="R175" s="481"/>
      <c r="S175" s="481"/>
      <c r="T175" s="481"/>
      <c r="U175" s="481"/>
      <c r="V175" s="481"/>
      <c r="W175" s="481"/>
      <c r="X175" s="481"/>
      <c r="Y175" s="481"/>
      <c r="Z175" s="481"/>
      <c r="AA175" s="481"/>
      <c r="AB175" s="481"/>
      <c r="AC175" s="481"/>
      <c r="AD175" s="481"/>
      <c r="AE175" s="481"/>
      <c r="AF175" s="481"/>
    </row>
    <row r="176" spans="1:32" ht="15" customHeight="1" x14ac:dyDescent="0.35">
      <c r="A176" s="481" t="s">
        <v>129</v>
      </c>
      <c r="B176" s="481"/>
      <c r="C176" s="481"/>
      <c r="D176" s="481"/>
      <c r="E176" s="481"/>
      <c r="F176" s="481"/>
      <c r="G176" s="481"/>
      <c r="H176" s="481"/>
      <c r="I176" s="481"/>
      <c r="J176" s="481"/>
      <c r="K176" s="481"/>
      <c r="L176" s="481"/>
      <c r="M176" s="481"/>
      <c r="N176" s="481"/>
      <c r="O176" s="481"/>
      <c r="P176" s="481"/>
      <c r="Q176" s="481"/>
      <c r="R176" s="481"/>
      <c r="S176" s="481"/>
      <c r="T176" s="481"/>
      <c r="U176" s="481"/>
      <c r="V176" s="481"/>
      <c r="W176" s="481"/>
      <c r="X176" s="481"/>
      <c r="Y176" s="481"/>
      <c r="Z176" s="481"/>
      <c r="AA176" s="481"/>
      <c r="AB176" s="481"/>
      <c r="AC176" s="481"/>
      <c r="AD176" s="481"/>
      <c r="AE176" s="481"/>
      <c r="AF176" s="481"/>
    </row>
    <row r="177" spans="1:32" ht="15" customHeight="1" x14ac:dyDescent="0.35">
      <c r="A177" s="481" t="s">
        <v>128</v>
      </c>
      <c r="B177" s="481"/>
      <c r="C177" s="481"/>
      <c r="D177" s="481"/>
      <c r="E177" s="481"/>
      <c r="F177" s="481"/>
      <c r="G177" s="481"/>
      <c r="H177" s="481"/>
      <c r="I177" s="481"/>
      <c r="J177" s="481"/>
      <c r="K177" s="481"/>
      <c r="L177" s="481"/>
      <c r="M177" s="481"/>
      <c r="N177" s="481"/>
      <c r="O177" s="481"/>
      <c r="P177" s="481"/>
      <c r="Q177" s="481"/>
      <c r="R177" s="481"/>
      <c r="S177" s="481"/>
      <c r="T177" s="481"/>
      <c r="U177" s="481"/>
      <c r="V177" s="481"/>
      <c r="W177" s="481"/>
      <c r="X177" s="481"/>
      <c r="Y177" s="481"/>
      <c r="Z177" s="481"/>
      <c r="AA177" s="481"/>
      <c r="AB177" s="481"/>
      <c r="AC177" s="481"/>
      <c r="AD177" s="481"/>
      <c r="AE177" s="481"/>
      <c r="AF177" s="481"/>
    </row>
    <row r="178" spans="1:32" ht="15" customHeight="1" x14ac:dyDescent="0.35">
      <c r="A178" s="481" t="s">
        <v>127</v>
      </c>
      <c r="B178" s="481"/>
      <c r="C178" s="481"/>
      <c r="D178" s="481"/>
      <c r="E178" s="481"/>
      <c r="F178" s="481"/>
      <c r="G178" s="481"/>
      <c r="H178" s="481"/>
      <c r="I178" s="481"/>
      <c r="J178" s="481"/>
      <c r="K178" s="481"/>
      <c r="L178" s="481"/>
      <c r="M178" s="481"/>
      <c r="N178" s="481"/>
      <c r="O178" s="481"/>
      <c r="P178" s="481"/>
      <c r="Q178" s="481"/>
      <c r="R178" s="481"/>
      <c r="S178" s="481"/>
      <c r="T178" s="481"/>
      <c r="U178" s="481"/>
      <c r="V178" s="481"/>
      <c r="W178" s="481"/>
      <c r="X178" s="481"/>
      <c r="Y178" s="481"/>
      <c r="Z178" s="481"/>
      <c r="AA178" s="481"/>
      <c r="AB178" s="481"/>
      <c r="AC178" s="481"/>
      <c r="AD178" s="481"/>
      <c r="AE178" s="481"/>
      <c r="AF178" s="481"/>
    </row>
    <row r="179" spans="1:32" ht="15" customHeight="1" x14ac:dyDescent="0.35">
      <c r="A179" s="481" t="s">
        <v>126</v>
      </c>
      <c r="B179" s="481"/>
      <c r="C179" s="481"/>
      <c r="D179" s="481"/>
      <c r="E179" s="481"/>
      <c r="F179" s="481"/>
      <c r="G179" s="481"/>
      <c r="H179" s="481"/>
      <c r="I179" s="481"/>
      <c r="J179" s="481"/>
      <c r="K179" s="481"/>
      <c r="L179" s="481"/>
      <c r="M179" s="481"/>
      <c r="N179" s="481"/>
      <c r="O179" s="481"/>
      <c r="P179" s="481"/>
      <c r="Q179" s="481"/>
      <c r="R179" s="481"/>
      <c r="S179" s="481"/>
      <c r="T179" s="481"/>
      <c r="U179" s="481"/>
      <c r="V179" s="481"/>
      <c r="W179" s="481"/>
      <c r="X179" s="481"/>
      <c r="Y179" s="481"/>
      <c r="Z179" s="481"/>
      <c r="AA179" s="481"/>
      <c r="AB179" s="481"/>
      <c r="AC179" s="481"/>
      <c r="AD179" s="481"/>
      <c r="AE179" s="481"/>
      <c r="AF179" s="481"/>
    </row>
    <row r="180" spans="1:32" ht="15" customHeight="1" x14ac:dyDescent="0.35">
      <c r="A180" s="481" t="s">
        <v>125</v>
      </c>
      <c r="B180" s="481"/>
      <c r="C180" s="481"/>
      <c r="D180" s="481"/>
      <c r="E180" s="481"/>
      <c r="F180" s="481"/>
      <c r="G180" s="481"/>
      <c r="H180" s="481"/>
      <c r="I180" s="481"/>
      <c r="J180" s="481"/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  <c r="AB180" s="481"/>
      <c r="AC180" s="481"/>
      <c r="AD180" s="481"/>
      <c r="AE180" s="481"/>
      <c r="AF180" s="481"/>
    </row>
    <row r="181" spans="1:32" ht="15" customHeight="1" x14ac:dyDescent="0.35">
      <c r="A181" s="481" t="s">
        <v>124</v>
      </c>
      <c r="B181" s="481"/>
      <c r="C181" s="481"/>
      <c r="D181" s="481"/>
      <c r="E181" s="481"/>
      <c r="F181" s="481"/>
      <c r="G181" s="481"/>
      <c r="H181" s="481"/>
      <c r="I181" s="481"/>
      <c r="J181" s="481"/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  <c r="AB181" s="481"/>
      <c r="AC181" s="481"/>
      <c r="AD181" s="481"/>
      <c r="AE181" s="481"/>
      <c r="AF181" s="481"/>
    </row>
    <row r="182" spans="1:32" ht="15" customHeight="1" x14ac:dyDescent="0.35">
      <c r="A182" s="481" t="s">
        <v>123</v>
      </c>
      <c r="B182" s="481"/>
      <c r="C182" s="481"/>
      <c r="D182" s="481"/>
      <c r="E182" s="481"/>
      <c r="F182" s="481"/>
      <c r="G182" s="481"/>
      <c r="H182" s="481"/>
      <c r="I182" s="481"/>
      <c r="J182" s="481"/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  <c r="AB182" s="481"/>
      <c r="AC182" s="481"/>
      <c r="AD182" s="481"/>
      <c r="AE182" s="481"/>
      <c r="AF182" s="481"/>
    </row>
    <row r="183" spans="1:32" ht="15" customHeight="1" x14ac:dyDescent="0.35">
      <c r="A183" s="481" t="s">
        <v>122</v>
      </c>
      <c r="B183" s="481"/>
      <c r="C183" s="481"/>
      <c r="D183" s="481"/>
      <c r="E183" s="481"/>
      <c r="F183" s="481"/>
      <c r="G183" s="481"/>
      <c r="H183" s="481"/>
      <c r="I183" s="481"/>
      <c r="J183" s="481"/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  <c r="AB183" s="481"/>
      <c r="AC183" s="481"/>
      <c r="AD183" s="481"/>
      <c r="AE183" s="481"/>
      <c r="AF183" s="481"/>
    </row>
    <row r="184" spans="1:32" ht="15" customHeight="1" x14ac:dyDescent="0.35">
      <c r="A184" s="481" t="s">
        <v>121</v>
      </c>
      <c r="B184" s="481"/>
      <c r="C184" s="481"/>
      <c r="D184" s="481"/>
      <c r="E184" s="481"/>
      <c r="F184" s="481"/>
      <c r="G184" s="481"/>
      <c r="H184" s="481"/>
      <c r="I184" s="481"/>
      <c r="J184" s="481"/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  <c r="AB184" s="481"/>
      <c r="AC184" s="481"/>
      <c r="AD184" s="481"/>
      <c r="AE184" s="481"/>
      <c r="AF184" s="481"/>
    </row>
    <row r="185" spans="1:32" ht="15" customHeight="1" x14ac:dyDescent="0.35">
      <c r="A185" s="481" t="s">
        <v>120</v>
      </c>
      <c r="B185" s="481"/>
      <c r="C185" s="481"/>
      <c r="D185" s="481"/>
      <c r="E185" s="481"/>
      <c r="F185" s="481"/>
      <c r="G185" s="481"/>
      <c r="H185" s="481"/>
      <c r="I185" s="481"/>
      <c r="J185" s="481"/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  <c r="AB185" s="481"/>
      <c r="AC185" s="481"/>
      <c r="AD185" s="481"/>
      <c r="AE185" s="481"/>
      <c r="AF185" s="481"/>
    </row>
    <row r="186" spans="1:32" ht="15" customHeight="1" x14ac:dyDescent="0.35">
      <c r="A186" s="481" t="s">
        <v>119</v>
      </c>
      <c r="B186" s="481"/>
      <c r="C186" s="481"/>
      <c r="D186" s="481"/>
      <c r="E186" s="481"/>
      <c r="F186" s="481"/>
      <c r="G186" s="481"/>
      <c r="H186" s="481"/>
      <c r="I186" s="481"/>
      <c r="J186" s="481"/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  <c r="AB186" s="481"/>
      <c r="AC186" s="481"/>
      <c r="AD186" s="481"/>
      <c r="AE186" s="481"/>
      <c r="AF186" s="481"/>
    </row>
    <row r="187" spans="1:32" ht="15" customHeight="1" x14ac:dyDescent="0.35">
      <c r="A187" s="481" t="s">
        <v>118</v>
      </c>
      <c r="B187" s="481"/>
      <c r="C187" s="481"/>
      <c r="D187" s="481"/>
      <c r="E187" s="481"/>
      <c r="F187" s="481"/>
      <c r="G187" s="481"/>
      <c r="H187" s="481"/>
      <c r="I187" s="481"/>
      <c r="J187" s="481"/>
      <c r="K187" s="481"/>
      <c r="L187" s="481"/>
      <c r="M187" s="481"/>
      <c r="N187" s="481"/>
      <c r="O187" s="481"/>
      <c r="P187" s="481"/>
      <c r="Q187" s="481"/>
      <c r="R187" s="481"/>
      <c r="S187" s="481"/>
      <c r="T187" s="481"/>
      <c r="U187" s="481"/>
      <c r="V187" s="481"/>
      <c r="W187" s="481"/>
      <c r="X187" s="481"/>
      <c r="Y187" s="481"/>
      <c r="Z187" s="481"/>
      <c r="AA187" s="481"/>
      <c r="AB187" s="481"/>
      <c r="AC187" s="481"/>
      <c r="AD187" s="481"/>
      <c r="AE187" s="481"/>
      <c r="AF187" s="481"/>
    </row>
    <row r="188" spans="1:32" ht="15" customHeight="1" x14ac:dyDescent="0.35">
      <c r="A188" s="481" t="s">
        <v>117</v>
      </c>
      <c r="B188" s="481"/>
      <c r="C188" s="481"/>
      <c r="D188" s="481"/>
      <c r="E188" s="481"/>
      <c r="F188" s="481"/>
      <c r="G188" s="481"/>
      <c r="H188" s="481"/>
      <c r="I188" s="481"/>
      <c r="J188" s="481"/>
      <c r="K188" s="481"/>
      <c r="L188" s="481"/>
      <c r="M188" s="481"/>
      <c r="N188" s="481"/>
      <c r="O188" s="481"/>
      <c r="P188" s="481"/>
      <c r="Q188" s="481"/>
      <c r="R188" s="481"/>
      <c r="S188" s="481"/>
      <c r="T188" s="481"/>
      <c r="U188" s="481"/>
      <c r="V188" s="481"/>
      <c r="W188" s="481"/>
      <c r="X188" s="481"/>
      <c r="Y188" s="481"/>
      <c r="Z188" s="481"/>
      <c r="AA188" s="481"/>
      <c r="AB188" s="481"/>
      <c r="AC188" s="481"/>
      <c r="AD188" s="481"/>
      <c r="AE188" s="481"/>
      <c r="AF188" s="481"/>
    </row>
    <row r="189" spans="1:32" ht="15" customHeight="1" x14ac:dyDescent="0.35">
      <c r="A189" s="481" t="s">
        <v>116</v>
      </c>
      <c r="B189" s="481"/>
      <c r="C189" s="481"/>
      <c r="D189" s="481"/>
      <c r="E189" s="481"/>
      <c r="F189" s="481"/>
      <c r="G189" s="481"/>
      <c r="H189" s="481"/>
      <c r="I189" s="481"/>
      <c r="J189" s="481"/>
      <c r="K189" s="481"/>
      <c r="L189" s="481"/>
      <c r="M189" s="481"/>
      <c r="N189" s="481"/>
      <c r="O189" s="481"/>
      <c r="P189" s="481"/>
      <c r="Q189" s="481"/>
      <c r="R189" s="481"/>
      <c r="S189" s="481"/>
      <c r="T189" s="481"/>
      <c r="U189" s="481"/>
      <c r="V189" s="481"/>
      <c r="W189" s="481"/>
      <c r="X189" s="481"/>
      <c r="Y189" s="481"/>
      <c r="Z189" s="481"/>
      <c r="AA189" s="481"/>
      <c r="AB189" s="481"/>
      <c r="AC189" s="481"/>
      <c r="AD189" s="481"/>
      <c r="AE189" s="481"/>
      <c r="AF189" s="481"/>
    </row>
    <row r="190" spans="1:32" ht="15" customHeight="1" x14ac:dyDescent="0.35">
      <c r="A190" s="481" t="s">
        <v>115</v>
      </c>
      <c r="B190" s="481"/>
      <c r="C190" s="481"/>
      <c r="D190" s="481"/>
      <c r="E190" s="481"/>
      <c r="F190" s="481"/>
      <c r="G190" s="481"/>
      <c r="H190" s="481"/>
      <c r="I190" s="481"/>
      <c r="J190" s="481"/>
      <c r="K190" s="481"/>
      <c r="L190" s="481"/>
      <c r="M190" s="481"/>
      <c r="N190" s="481"/>
      <c r="O190" s="481"/>
      <c r="P190" s="481"/>
      <c r="Q190" s="481"/>
      <c r="R190" s="481"/>
      <c r="S190" s="481"/>
      <c r="T190" s="481"/>
      <c r="U190" s="481"/>
      <c r="V190" s="481"/>
      <c r="W190" s="481"/>
      <c r="X190" s="481"/>
      <c r="Y190" s="481"/>
      <c r="Z190" s="481"/>
      <c r="AA190" s="481"/>
      <c r="AB190" s="481"/>
      <c r="AC190" s="481"/>
      <c r="AD190" s="481"/>
      <c r="AE190" s="481"/>
      <c r="AF190" s="481"/>
    </row>
    <row r="191" spans="1:32" ht="15" customHeight="1" x14ac:dyDescent="0.35">
      <c r="A191" s="481" t="s">
        <v>114</v>
      </c>
      <c r="B191" s="481"/>
      <c r="C191" s="481"/>
      <c r="D191" s="481"/>
      <c r="E191" s="481"/>
      <c r="F191" s="481"/>
      <c r="G191" s="481"/>
      <c r="H191" s="481"/>
      <c r="I191" s="481"/>
      <c r="J191" s="481"/>
      <c r="K191" s="481"/>
      <c r="L191" s="481"/>
      <c r="M191" s="481"/>
      <c r="N191" s="481"/>
      <c r="O191" s="481"/>
      <c r="P191" s="481"/>
      <c r="Q191" s="481"/>
      <c r="R191" s="481"/>
      <c r="S191" s="481"/>
      <c r="T191" s="481"/>
      <c r="U191" s="481"/>
      <c r="V191" s="481"/>
      <c r="W191" s="481"/>
      <c r="X191" s="481"/>
      <c r="Y191" s="481"/>
      <c r="Z191" s="481"/>
      <c r="AA191" s="481"/>
      <c r="AB191" s="481"/>
      <c r="AC191" s="481"/>
      <c r="AD191" s="481"/>
      <c r="AE191" s="481"/>
      <c r="AF191" s="481"/>
    </row>
    <row r="192" spans="1:32" ht="15" customHeight="1" x14ac:dyDescent="0.35">
      <c r="A192" s="481" t="s">
        <v>113</v>
      </c>
      <c r="B192" s="481"/>
      <c r="C192" s="481"/>
      <c r="D192" s="481"/>
      <c r="E192" s="481"/>
      <c r="F192" s="481"/>
      <c r="G192" s="481"/>
      <c r="H192" s="481"/>
      <c r="I192" s="481"/>
      <c r="J192" s="481"/>
      <c r="K192" s="481"/>
      <c r="L192" s="481"/>
      <c r="M192" s="481"/>
      <c r="N192" s="481"/>
      <c r="O192" s="481"/>
      <c r="P192" s="481"/>
      <c r="Q192" s="481"/>
      <c r="R192" s="481"/>
      <c r="S192" s="481"/>
      <c r="T192" s="481"/>
      <c r="U192" s="481"/>
      <c r="V192" s="481"/>
      <c r="W192" s="481"/>
      <c r="X192" s="481"/>
      <c r="Y192" s="481"/>
      <c r="Z192" s="481"/>
      <c r="AA192" s="481"/>
      <c r="AB192" s="481"/>
      <c r="AC192" s="481"/>
      <c r="AD192" s="481"/>
      <c r="AE192" s="481"/>
      <c r="AF192" s="481"/>
    </row>
  </sheetData>
  <mergeCells count="42">
    <mergeCell ref="A192:AF192"/>
    <mergeCell ref="A181:AF181"/>
    <mergeCell ref="A182:AF182"/>
    <mergeCell ref="A183:AF183"/>
    <mergeCell ref="A184:AF184"/>
    <mergeCell ref="A185:AF185"/>
    <mergeCell ref="A186:AF186"/>
    <mergeCell ref="A187:AF187"/>
    <mergeCell ref="A188:AF188"/>
    <mergeCell ref="A189:AF189"/>
    <mergeCell ref="A190:AF190"/>
    <mergeCell ref="A191:AF191"/>
    <mergeCell ref="A180:AF180"/>
    <mergeCell ref="A169:AF169"/>
    <mergeCell ref="A170:AF170"/>
    <mergeCell ref="A171:AF171"/>
    <mergeCell ref="A172:AF172"/>
    <mergeCell ref="A173:AF173"/>
    <mergeCell ref="A174:AF174"/>
    <mergeCell ref="A175:AF175"/>
    <mergeCell ref="A176:AF176"/>
    <mergeCell ref="A177:AF177"/>
    <mergeCell ref="A178:AF178"/>
    <mergeCell ref="A179:AF179"/>
    <mergeCell ref="A168:AF168"/>
    <mergeCell ref="A157:AF157"/>
    <mergeCell ref="A158:AF158"/>
    <mergeCell ref="A159:AF159"/>
    <mergeCell ref="A160:AF160"/>
    <mergeCell ref="A161:AF161"/>
    <mergeCell ref="A162:AF162"/>
    <mergeCell ref="A163:AF163"/>
    <mergeCell ref="A164:AF164"/>
    <mergeCell ref="A165:AF165"/>
    <mergeCell ref="A166:AF166"/>
    <mergeCell ref="A167:AF167"/>
    <mergeCell ref="A156:AF156"/>
    <mergeCell ref="A1:AF1"/>
    <mergeCell ref="A2:AF2"/>
    <mergeCell ref="A3:AF3"/>
    <mergeCell ref="A154:AF154"/>
    <mergeCell ref="A155:AF155"/>
  </mergeCell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0" tint="-0.14999847407452621"/>
  </sheetPr>
  <dimension ref="A1:AF67"/>
  <sheetViews>
    <sheetView showGridLines="0" zoomScale="85" zoomScaleNormal="85" workbookViewId="0">
      <selection activeCell="N11" sqref="N11"/>
    </sheetView>
  </sheetViews>
  <sheetFormatPr defaultRowHeight="17.25" x14ac:dyDescent="0.35"/>
  <cols>
    <col min="1" max="1" width="27.125" bestFit="1" customWidth="1"/>
    <col min="2" max="2" width="8.75" bestFit="1" customWidth="1"/>
    <col min="3" max="14" width="9.625" bestFit="1" customWidth="1"/>
    <col min="15" max="15" width="8.75" bestFit="1" customWidth="1"/>
    <col min="16" max="25" width="9.625" bestFit="1" customWidth="1"/>
    <col min="26" max="26" width="8.75" bestFit="1" customWidth="1"/>
    <col min="27" max="30" width="9.625" bestFit="1" customWidth="1"/>
    <col min="31" max="31" width="8.75" bestFit="1" customWidth="1"/>
    <col min="32" max="32" width="20.25" bestFit="1" customWidth="1"/>
  </cols>
  <sheetData>
    <row r="1" spans="1:32" ht="18" customHeight="1" x14ac:dyDescent="0.35">
      <c r="A1" s="482" t="s">
        <v>250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</row>
    <row r="2" spans="1:32" ht="18" customHeight="1" x14ac:dyDescent="0.35">
      <c r="A2" s="482" t="s">
        <v>249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</row>
    <row r="3" spans="1:32" x14ac:dyDescent="0.35">
      <c r="A3" s="483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</row>
    <row r="4" spans="1:32" s="94" customFormat="1" ht="34.5" x14ac:dyDescent="0.35">
      <c r="A4" s="96" t="s">
        <v>212</v>
      </c>
      <c r="B4" s="95">
        <v>2011</v>
      </c>
      <c r="C4" s="95">
        <v>2012</v>
      </c>
      <c r="D4" s="95">
        <v>2013</v>
      </c>
      <c r="E4" s="95">
        <v>2014</v>
      </c>
      <c r="F4" s="95">
        <v>2015</v>
      </c>
      <c r="G4" s="95">
        <v>2016</v>
      </c>
      <c r="H4" s="95">
        <v>2017</v>
      </c>
      <c r="I4" s="95">
        <v>2018</v>
      </c>
      <c r="J4" s="95">
        <v>2019</v>
      </c>
      <c r="K4" s="95">
        <v>2020</v>
      </c>
      <c r="L4" s="95">
        <v>2021</v>
      </c>
      <c r="M4" s="95">
        <v>2022</v>
      </c>
      <c r="N4" s="95">
        <v>2023</v>
      </c>
      <c r="O4" s="95">
        <v>2024</v>
      </c>
      <c r="P4" s="95">
        <v>2025</v>
      </c>
      <c r="Q4" s="95">
        <v>2026</v>
      </c>
      <c r="R4" s="95">
        <v>2027</v>
      </c>
      <c r="S4" s="95">
        <v>2028</v>
      </c>
      <c r="T4" s="95">
        <v>2029</v>
      </c>
      <c r="U4" s="95">
        <v>2030</v>
      </c>
      <c r="V4" s="95">
        <v>2031</v>
      </c>
      <c r="W4" s="95">
        <v>2032</v>
      </c>
      <c r="X4" s="95">
        <v>2033</v>
      </c>
      <c r="Y4" s="95">
        <v>2034</v>
      </c>
      <c r="Z4" s="95">
        <v>2035</v>
      </c>
      <c r="AA4" s="95">
        <v>2036</v>
      </c>
      <c r="AB4" s="95">
        <v>2037</v>
      </c>
      <c r="AC4" s="95">
        <v>2038</v>
      </c>
      <c r="AD4" s="95">
        <v>2039</v>
      </c>
      <c r="AE4" s="95">
        <v>2040</v>
      </c>
      <c r="AF4" s="95" t="s">
        <v>211</v>
      </c>
    </row>
    <row r="5" spans="1:32" x14ac:dyDescent="0.35">
      <c r="A5" s="90"/>
    </row>
    <row r="6" spans="1:32" x14ac:dyDescent="0.35">
      <c r="A6" s="91" t="s">
        <v>210</v>
      </c>
    </row>
    <row r="7" spans="1:32" x14ac:dyDescent="0.35">
      <c r="A7" s="90" t="s">
        <v>239</v>
      </c>
      <c r="B7" s="89">
        <v>18.394876</v>
      </c>
      <c r="C7" s="89">
        <v>17.621897000000001</v>
      </c>
      <c r="D7" s="89">
        <v>18.458385</v>
      </c>
      <c r="E7" s="89">
        <v>18.597334</v>
      </c>
      <c r="F7" s="89">
        <v>17.482068999999999</v>
      </c>
      <c r="G7" s="89">
        <v>17.277654999999999</v>
      </c>
      <c r="H7" s="89">
        <v>17.039622999999999</v>
      </c>
      <c r="I7" s="89">
        <v>16.76651</v>
      </c>
      <c r="J7" s="89">
        <v>16.468159</v>
      </c>
      <c r="K7" s="89">
        <v>16.165371</v>
      </c>
      <c r="L7" s="89">
        <v>15.869526</v>
      </c>
      <c r="M7" s="89">
        <v>15.585566999999999</v>
      </c>
      <c r="N7" s="89">
        <v>15.319229999999999</v>
      </c>
      <c r="O7" s="89">
        <v>15.07063</v>
      </c>
      <c r="P7" s="89">
        <v>14.826587</v>
      </c>
      <c r="Q7" s="89">
        <v>14.590733</v>
      </c>
      <c r="R7" s="89">
        <v>14.357879000000001</v>
      </c>
      <c r="S7" s="89">
        <v>14.131881999999999</v>
      </c>
      <c r="T7" s="89">
        <v>13.911326000000001</v>
      </c>
      <c r="U7" s="89">
        <v>13.698404999999999</v>
      </c>
      <c r="V7" s="89">
        <v>13.495938000000001</v>
      </c>
      <c r="W7" s="89">
        <v>13.298309</v>
      </c>
      <c r="X7" s="89">
        <v>13.108223000000001</v>
      </c>
      <c r="Y7" s="89">
        <v>12.92545</v>
      </c>
      <c r="Z7" s="89">
        <v>12.75545</v>
      </c>
      <c r="AA7" s="89">
        <v>12.591614</v>
      </c>
      <c r="AB7" s="89">
        <v>12.437900000000001</v>
      </c>
      <c r="AC7" s="89">
        <v>12.292007999999999</v>
      </c>
      <c r="AD7" s="89">
        <v>12.148434999999999</v>
      </c>
      <c r="AE7" s="89">
        <v>12.012243</v>
      </c>
      <c r="AF7" s="88">
        <v>-1.4E-2</v>
      </c>
    </row>
    <row r="8" spans="1:32" x14ac:dyDescent="0.35">
      <c r="A8" s="90" t="s">
        <v>177</v>
      </c>
      <c r="B8" s="89">
        <v>11.008755000000001</v>
      </c>
      <c r="C8" s="89">
        <v>9.7625030000000006</v>
      </c>
      <c r="D8" s="89">
        <v>11.893449</v>
      </c>
      <c r="E8" s="89">
        <v>12.233014000000001</v>
      </c>
      <c r="F8" s="89">
        <v>11.672824</v>
      </c>
      <c r="G8" s="89">
        <v>11.738455</v>
      </c>
      <c r="H8" s="89">
        <v>11.793839</v>
      </c>
      <c r="I8" s="89">
        <v>11.822754</v>
      </c>
      <c r="J8" s="89">
        <v>11.847835999999999</v>
      </c>
      <c r="K8" s="89">
        <v>11.879606000000001</v>
      </c>
      <c r="L8" s="89">
        <v>11.895308</v>
      </c>
      <c r="M8" s="89">
        <v>11.904087000000001</v>
      </c>
      <c r="N8" s="89">
        <v>11.912347</v>
      </c>
      <c r="O8" s="89">
        <v>11.914574</v>
      </c>
      <c r="P8" s="89">
        <v>11.903466</v>
      </c>
      <c r="Q8" s="89">
        <v>11.890200999999999</v>
      </c>
      <c r="R8" s="89">
        <v>11.872453999999999</v>
      </c>
      <c r="S8" s="89">
        <v>11.850604000000001</v>
      </c>
      <c r="T8" s="89">
        <v>11.82089</v>
      </c>
      <c r="U8" s="89">
        <v>11.788403000000001</v>
      </c>
      <c r="V8" s="89">
        <v>11.773721999999999</v>
      </c>
      <c r="W8" s="89">
        <v>11.780417999999999</v>
      </c>
      <c r="X8" s="89">
        <v>11.783585</v>
      </c>
      <c r="Y8" s="89">
        <v>11.773037</v>
      </c>
      <c r="Z8" s="89">
        <v>11.750373</v>
      </c>
      <c r="AA8" s="89">
        <v>11.715277</v>
      </c>
      <c r="AB8" s="89">
        <v>11.681673999999999</v>
      </c>
      <c r="AC8" s="89">
        <v>11.65253</v>
      </c>
      <c r="AD8" s="89">
        <v>11.609971</v>
      </c>
      <c r="AE8" s="89">
        <v>11.564458999999999</v>
      </c>
      <c r="AF8" s="88">
        <v>6.0000000000000001E-3</v>
      </c>
    </row>
    <row r="9" spans="1:32" x14ac:dyDescent="0.35">
      <c r="A9" s="90" t="s">
        <v>242</v>
      </c>
      <c r="B9" s="89">
        <v>13.743487</v>
      </c>
      <c r="C9" s="89">
        <v>12.333285999999999</v>
      </c>
      <c r="D9" s="89">
        <v>12.501151999999999</v>
      </c>
      <c r="E9" s="89">
        <v>12.437639000000001</v>
      </c>
      <c r="F9" s="89">
        <v>12.463486</v>
      </c>
      <c r="G9" s="89">
        <v>11.352987000000001</v>
      </c>
      <c r="H9" s="89">
        <v>11.950575000000001</v>
      </c>
      <c r="I9" s="89">
        <v>12.566991</v>
      </c>
      <c r="J9" s="89">
        <v>12.794048</v>
      </c>
      <c r="K9" s="89">
        <v>12.504611000000001</v>
      </c>
      <c r="L9" s="89">
        <v>12.32019</v>
      </c>
      <c r="M9" s="89">
        <v>12.029315</v>
      </c>
      <c r="N9" s="89">
        <v>11.806706</v>
      </c>
      <c r="O9" s="89">
        <v>11.682929</v>
      </c>
      <c r="P9" s="89">
        <v>11.623053000000001</v>
      </c>
      <c r="Q9" s="89">
        <v>11.334906999999999</v>
      </c>
      <c r="R9" s="89">
        <v>11.88335</v>
      </c>
      <c r="S9" s="89">
        <v>12.112814</v>
      </c>
      <c r="T9" s="89">
        <v>11.866318</v>
      </c>
      <c r="U9" s="89">
        <v>11.954750000000001</v>
      </c>
      <c r="V9" s="89">
        <v>12.006064</v>
      </c>
      <c r="W9" s="89">
        <v>11.839043</v>
      </c>
      <c r="X9" s="89">
        <v>12.008058999999999</v>
      </c>
      <c r="Y9" s="89">
        <v>12.023202</v>
      </c>
      <c r="Z9" s="89">
        <v>11.837726</v>
      </c>
      <c r="AA9" s="89">
        <v>11.802595</v>
      </c>
      <c r="AB9" s="89">
        <v>11.680583</v>
      </c>
      <c r="AC9" s="89">
        <v>11.612505000000001</v>
      </c>
      <c r="AD9" s="89">
        <v>11.462693</v>
      </c>
      <c r="AE9" s="89">
        <v>11.167799</v>
      </c>
      <c r="AF9" s="88">
        <v>-4.0000000000000001E-3</v>
      </c>
    </row>
    <row r="10" spans="1:32" x14ac:dyDescent="0.35">
      <c r="A10" s="91" t="s">
        <v>248</v>
      </c>
      <c r="B10" s="93">
        <v>43.147117999999999</v>
      </c>
      <c r="C10" s="93">
        <v>39.717686</v>
      </c>
      <c r="D10" s="93">
        <v>42.852984999999997</v>
      </c>
      <c r="E10" s="93">
        <v>43.267989999999998</v>
      </c>
      <c r="F10" s="93">
        <v>41.618378</v>
      </c>
      <c r="G10" s="93">
        <v>40.369095000000002</v>
      </c>
      <c r="H10" s="93">
        <v>40.784035000000003</v>
      </c>
      <c r="I10" s="93">
        <v>41.156253999999997</v>
      </c>
      <c r="J10" s="93">
        <v>41.110042999999997</v>
      </c>
      <c r="K10" s="93">
        <v>40.549587000000002</v>
      </c>
      <c r="L10" s="93">
        <v>40.085022000000002</v>
      </c>
      <c r="M10" s="93">
        <v>39.518970000000003</v>
      </c>
      <c r="N10" s="93">
        <v>39.038283999999997</v>
      </c>
      <c r="O10" s="93">
        <v>38.668132999999997</v>
      </c>
      <c r="P10" s="93">
        <v>38.353104000000002</v>
      </c>
      <c r="Q10" s="93">
        <v>37.815842000000004</v>
      </c>
      <c r="R10" s="93">
        <v>38.113681999999997</v>
      </c>
      <c r="S10" s="93">
        <v>38.095298999999997</v>
      </c>
      <c r="T10" s="93">
        <v>37.598534000000001</v>
      </c>
      <c r="U10" s="93">
        <v>37.441558999999998</v>
      </c>
      <c r="V10" s="93">
        <v>37.275725999999999</v>
      </c>
      <c r="W10" s="93">
        <v>36.917769999999997</v>
      </c>
      <c r="X10" s="93">
        <v>36.899864000000001</v>
      </c>
      <c r="Y10" s="93">
        <v>36.721687000000003</v>
      </c>
      <c r="Z10" s="93">
        <v>36.343547999999998</v>
      </c>
      <c r="AA10" s="93">
        <v>36.109485999999997</v>
      </c>
      <c r="AB10" s="93">
        <v>35.800156000000001</v>
      </c>
      <c r="AC10" s="93">
        <v>35.557045000000002</v>
      </c>
      <c r="AD10" s="93">
        <v>35.2211</v>
      </c>
      <c r="AE10" s="93">
        <v>34.744498999999998</v>
      </c>
      <c r="AF10" s="92">
        <v>-5.0000000000000001E-3</v>
      </c>
    </row>
    <row r="11" spans="1:32" x14ac:dyDescent="0.35">
      <c r="A11" s="90"/>
    </row>
    <row r="12" spans="1:32" x14ac:dyDescent="0.35">
      <c r="A12" s="91" t="s">
        <v>208</v>
      </c>
    </row>
    <row r="13" spans="1:32" x14ac:dyDescent="0.35">
      <c r="A13" s="90" t="s">
        <v>239</v>
      </c>
      <c r="B13" s="89">
        <v>6.1998769999999999</v>
      </c>
      <c r="C13" s="89">
        <v>5.5671410000000003</v>
      </c>
      <c r="D13" s="89">
        <v>5.5765520000000004</v>
      </c>
      <c r="E13" s="89">
        <v>6.4561219999999997</v>
      </c>
      <c r="F13" s="89">
        <v>6.4137940000000002</v>
      </c>
      <c r="G13" s="89">
        <v>6.4810860000000003</v>
      </c>
      <c r="H13" s="89">
        <v>6.5069350000000004</v>
      </c>
      <c r="I13" s="89">
        <v>6.490221</v>
      </c>
      <c r="J13" s="89">
        <v>6.4514250000000004</v>
      </c>
      <c r="K13" s="89">
        <v>6.4012539999999998</v>
      </c>
      <c r="L13" s="89">
        <v>6.3495629999999998</v>
      </c>
      <c r="M13" s="89">
        <v>6.2929599999999999</v>
      </c>
      <c r="N13" s="89">
        <v>6.2442330000000004</v>
      </c>
      <c r="O13" s="89">
        <v>6.1993429999999998</v>
      </c>
      <c r="P13" s="89">
        <v>6.1557630000000003</v>
      </c>
      <c r="Q13" s="89">
        <v>6.1103339999999999</v>
      </c>
      <c r="R13" s="89">
        <v>6.0642490000000002</v>
      </c>
      <c r="S13" s="89">
        <v>6.0294670000000004</v>
      </c>
      <c r="T13" s="89">
        <v>5.9871280000000002</v>
      </c>
      <c r="U13" s="89">
        <v>5.952985</v>
      </c>
      <c r="V13" s="89">
        <v>5.9184929999999998</v>
      </c>
      <c r="W13" s="89">
        <v>5.8869009999999999</v>
      </c>
      <c r="X13" s="89">
        <v>5.8581729999999999</v>
      </c>
      <c r="Y13" s="89">
        <v>5.8281890000000001</v>
      </c>
      <c r="Z13" s="89">
        <v>5.8092920000000001</v>
      </c>
      <c r="AA13" s="89">
        <v>5.791512</v>
      </c>
      <c r="AB13" s="89">
        <v>5.7742719999999998</v>
      </c>
      <c r="AC13" s="89">
        <v>5.7587770000000003</v>
      </c>
      <c r="AD13" s="89">
        <v>5.7354609999999999</v>
      </c>
      <c r="AE13" s="89">
        <v>5.7077099999999996</v>
      </c>
      <c r="AF13" s="88">
        <v>1E-3</v>
      </c>
    </row>
    <row r="14" spans="1:32" x14ac:dyDescent="0.35">
      <c r="A14" s="90" t="s">
        <v>177</v>
      </c>
      <c r="B14" s="89">
        <v>8.4165949999999992</v>
      </c>
      <c r="C14" s="89">
        <v>8.0463009999999997</v>
      </c>
      <c r="D14" s="89">
        <v>8.7168729999999996</v>
      </c>
      <c r="E14" s="89">
        <v>9.0607129999999998</v>
      </c>
      <c r="F14" s="89">
        <v>8.9355170000000008</v>
      </c>
      <c r="G14" s="89">
        <v>9.0187139999999992</v>
      </c>
      <c r="H14" s="89">
        <v>9.1036190000000001</v>
      </c>
      <c r="I14" s="89">
        <v>9.1572479999999992</v>
      </c>
      <c r="J14" s="89">
        <v>9.2148850000000007</v>
      </c>
      <c r="K14" s="89">
        <v>9.2744490000000006</v>
      </c>
      <c r="L14" s="89">
        <v>9.3138909999999999</v>
      </c>
      <c r="M14" s="89">
        <v>9.3540720000000004</v>
      </c>
      <c r="N14" s="89">
        <v>9.4008050000000001</v>
      </c>
      <c r="O14" s="89">
        <v>9.4398389999999992</v>
      </c>
      <c r="P14" s="89">
        <v>9.461881</v>
      </c>
      <c r="Q14" s="89">
        <v>9.4863900000000001</v>
      </c>
      <c r="R14" s="89">
        <v>9.5145230000000005</v>
      </c>
      <c r="S14" s="89">
        <v>9.5568469999999994</v>
      </c>
      <c r="T14" s="89">
        <v>9.5893789999999992</v>
      </c>
      <c r="U14" s="89">
        <v>9.6298159999999999</v>
      </c>
      <c r="V14" s="89">
        <v>9.7175089999999997</v>
      </c>
      <c r="W14" s="89">
        <v>9.8660300000000003</v>
      </c>
      <c r="X14" s="89">
        <v>10.033566</v>
      </c>
      <c r="Y14" s="89">
        <v>10.179138999999999</v>
      </c>
      <c r="Z14" s="89">
        <v>10.319725</v>
      </c>
      <c r="AA14" s="89">
        <v>10.452992999999999</v>
      </c>
      <c r="AB14" s="89">
        <v>10.589700000000001</v>
      </c>
      <c r="AC14" s="89">
        <v>10.735397000000001</v>
      </c>
      <c r="AD14" s="89">
        <v>10.853551</v>
      </c>
      <c r="AE14" s="89">
        <v>10.955541999999999</v>
      </c>
      <c r="AF14" s="88">
        <v>1.0999999999999999E-2</v>
      </c>
    </row>
    <row r="15" spans="1:32" x14ac:dyDescent="0.35">
      <c r="A15" s="90" t="s">
        <v>207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 t="s">
        <v>163</v>
      </c>
    </row>
    <row r="16" spans="1:32" x14ac:dyDescent="0.35">
      <c r="A16" s="90" t="s">
        <v>242</v>
      </c>
      <c r="B16" s="89">
        <v>13.696982999999999</v>
      </c>
      <c r="C16" s="89">
        <v>12.477945</v>
      </c>
      <c r="D16" s="89">
        <v>12.384862</v>
      </c>
      <c r="E16" s="89">
        <v>12.584046000000001</v>
      </c>
      <c r="F16" s="89">
        <v>12.553561999999999</v>
      </c>
      <c r="G16" s="89">
        <v>11.447476999999999</v>
      </c>
      <c r="H16" s="89">
        <v>12.051253000000001</v>
      </c>
      <c r="I16" s="89">
        <v>12.689175000000001</v>
      </c>
      <c r="J16" s="305">
        <v>12.962826</v>
      </c>
      <c r="K16" s="89">
        <v>12.877656999999999</v>
      </c>
      <c r="L16" s="89">
        <v>12.800988</v>
      </c>
      <c r="M16" s="89">
        <v>12.576593000000001</v>
      </c>
      <c r="N16" s="89">
        <v>12.399705000000001</v>
      </c>
      <c r="O16" s="89">
        <v>12.323748</v>
      </c>
      <c r="P16" s="89">
        <v>12.337078</v>
      </c>
      <c r="Q16" s="89">
        <v>12.095953</v>
      </c>
      <c r="R16" s="89">
        <v>12.698601999999999</v>
      </c>
      <c r="S16" s="89">
        <v>12.968572999999999</v>
      </c>
      <c r="T16" s="89">
        <v>12.739413000000001</v>
      </c>
      <c r="U16" s="89">
        <v>12.876201</v>
      </c>
      <c r="V16" s="89">
        <v>12.953948</v>
      </c>
      <c r="W16" s="89">
        <v>12.815528</v>
      </c>
      <c r="X16" s="89">
        <v>13.009947</v>
      </c>
      <c r="Y16" s="89">
        <v>13.050913</v>
      </c>
      <c r="Z16" s="89">
        <v>12.884605000000001</v>
      </c>
      <c r="AA16" s="89">
        <v>12.886623999999999</v>
      </c>
      <c r="AB16" s="89">
        <v>12.795324000000001</v>
      </c>
      <c r="AC16" s="89">
        <v>12.760914</v>
      </c>
      <c r="AD16" s="89">
        <v>12.643751999999999</v>
      </c>
      <c r="AE16" s="89">
        <v>12.356852999999999</v>
      </c>
      <c r="AF16" s="88">
        <v>0</v>
      </c>
    </row>
    <row r="17" spans="1:32" x14ac:dyDescent="0.35">
      <c r="A17" s="91" t="s">
        <v>247</v>
      </c>
      <c r="B17" s="93">
        <v>28.313455999999999</v>
      </c>
      <c r="C17" s="93">
        <v>26.091387000000001</v>
      </c>
      <c r="D17" s="93">
        <v>26.678287999999998</v>
      </c>
      <c r="E17" s="93">
        <v>28.100881999999999</v>
      </c>
      <c r="F17" s="93">
        <v>27.902874000000001</v>
      </c>
      <c r="G17" s="93">
        <v>26.947277</v>
      </c>
      <c r="H17" s="93">
        <v>27.661808000000001</v>
      </c>
      <c r="I17" s="93">
        <v>28.336642999999999</v>
      </c>
      <c r="J17" s="306">
        <v>28.629135000000002</v>
      </c>
      <c r="K17" s="93">
        <v>28.553360000000001</v>
      </c>
      <c r="L17" s="93">
        <v>28.464442999999999</v>
      </c>
      <c r="M17" s="93">
        <v>28.223624999999998</v>
      </c>
      <c r="N17" s="93">
        <v>28.044743</v>
      </c>
      <c r="O17" s="93">
        <v>27.962928999999999</v>
      </c>
      <c r="P17" s="93">
        <v>27.954720999999999</v>
      </c>
      <c r="Q17" s="93">
        <v>27.692677</v>
      </c>
      <c r="R17" s="93">
        <v>28.277373999999998</v>
      </c>
      <c r="S17" s="93">
        <v>28.554886</v>
      </c>
      <c r="T17" s="93">
        <v>28.315922</v>
      </c>
      <c r="U17" s="93">
        <v>28.459002999999999</v>
      </c>
      <c r="V17" s="93">
        <v>28.589950999999999</v>
      </c>
      <c r="W17" s="93">
        <v>28.568459000000001</v>
      </c>
      <c r="X17" s="93">
        <v>28.901686000000002</v>
      </c>
      <c r="Y17" s="93">
        <v>29.058240999999999</v>
      </c>
      <c r="Z17" s="93">
        <v>29.013622000000002</v>
      </c>
      <c r="AA17" s="93">
        <v>29.131129999999999</v>
      </c>
      <c r="AB17" s="93">
        <v>29.159296000000001</v>
      </c>
      <c r="AC17" s="93">
        <v>29.255089000000002</v>
      </c>
      <c r="AD17" s="93">
        <v>29.232765000000001</v>
      </c>
      <c r="AE17" s="93">
        <v>29.020102999999999</v>
      </c>
      <c r="AF17" s="92">
        <v>4.0000000000000001E-3</v>
      </c>
    </row>
    <row r="18" spans="1:32" x14ac:dyDescent="0.35">
      <c r="A18" s="90"/>
      <c r="J18" s="190"/>
    </row>
    <row r="19" spans="1:32" x14ac:dyDescent="0.35">
      <c r="A19" s="91" t="s">
        <v>246</v>
      </c>
      <c r="J19" s="190"/>
    </row>
    <row r="20" spans="1:32" x14ac:dyDescent="0.35">
      <c r="A20" s="90" t="s">
        <v>239</v>
      </c>
      <c r="B20" s="89">
        <v>3.689228</v>
      </c>
      <c r="C20" s="89">
        <v>3.3185120000000001</v>
      </c>
      <c r="D20" s="89">
        <v>3.4490859999999999</v>
      </c>
      <c r="E20" s="89">
        <v>3.5463900000000002</v>
      </c>
      <c r="F20" s="89">
        <v>3.8839610000000002</v>
      </c>
      <c r="G20" s="89">
        <v>4.0049029999999997</v>
      </c>
      <c r="H20" s="89">
        <v>4.0756430000000003</v>
      </c>
      <c r="I20" s="89">
        <v>4.1108830000000003</v>
      </c>
      <c r="J20" s="305">
        <v>4.1223270000000003</v>
      </c>
      <c r="K20" s="89">
        <v>4.13002</v>
      </c>
      <c r="L20" s="89">
        <v>4.1527349999999998</v>
      </c>
      <c r="M20" s="89">
        <v>4.163672</v>
      </c>
      <c r="N20" s="89">
        <v>4.1827259999999997</v>
      </c>
      <c r="O20" s="89">
        <v>4.216278</v>
      </c>
      <c r="P20" s="89">
        <v>4.2591010000000002</v>
      </c>
      <c r="Q20" s="89">
        <v>4.284173</v>
      </c>
      <c r="R20" s="89">
        <v>4.3038530000000002</v>
      </c>
      <c r="S20" s="89">
        <v>4.3206600000000002</v>
      </c>
      <c r="T20" s="89">
        <v>4.3302860000000001</v>
      </c>
      <c r="U20" s="89">
        <v>4.3443550000000002</v>
      </c>
      <c r="V20" s="89">
        <v>4.3318260000000004</v>
      </c>
      <c r="W20" s="89">
        <v>4.294632</v>
      </c>
      <c r="X20" s="89">
        <v>4.2877679999999998</v>
      </c>
      <c r="Y20" s="89">
        <v>4.292802</v>
      </c>
      <c r="Z20" s="89">
        <v>4.3056429999999999</v>
      </c>
      <c r="AA20" s="89">
        <v>4.3208099999999998</v>
      </c>
      <c r="AB20" s="89">
        <v>4.3379909999999997</v>
      </c>
      <c r="AC20" s="89">
        <v>4.3581599999999998</v>
      </c>
      <c r="AD20" s="89">
        <v>4.387086</v>
      </c>
      <c r="AE20" s="89">
        <v>4.4184200000000002</v>
      </c>
      <c r="AF20" s="88">
        <v>0.01</v>
      </c>
    </row>
    <row r="21" spans="1:32" x14ac:dyDescent="0.35">
      <c r="A21" s="90" t="s">
        <v>245</v>
      </c>
      <c r="B21" s="89">
        <v>5.9494369999999996</v>
      </c>
      <c r="C21" s="89">
        <v>6.4962549999999997</v>
      </c>
      <c r="D21" s="89">
        <v>7.0461140000000002</v>
      </c>
      <c r="E21" s="89">
        <v>7.1111209999999998</v>
      </c>
      <c r="F21" s="89">
        <v>7.0852019999999998</v>
      </c>
      <c r="G21" s="89">
        <v>7.3015780000000001</v>
      </c>
      <c r="H21" s="89">
        <v>7.408582</v>
      </c>
      <c r="I21" s="89">
        <v>7.457249</v>
      </c>
      <c r="J21" s="305">
        <v>7.5494240000000001</v>
      </c>
      <c r="K21" s="89">
        <v>7.6756359999999999</v>
      </c>
      <c r="L21" s="89">
        <v>7.7790229999999996</v>
      </c>
      <c r="M21" s="89">
        <v>7.9072209999999998</v>
      </c>
      <c r="N21" s="89">
        <v>8.0315949999999994</v>
      </c>
      <c r="O21" s="89">
        <v>8.1259599999999992</v>
      </c>
      <c r="P21" s="89">
        <v>8.2244410000000006</v>
      </c>
      <c r="Q21" s="89">
        <v>8.3411000000000008</v>
      </c>
      <c r="R21" s="89">
        <v>8.4411470000000008</v>
      </c>
      <c r="S21" s="89">
        <v>8.5357160000000007</v>
      </c>
      <c r="T21" s="89">
        <v>8.6308790000000002</v>
      </c>
      <c r="U21" s="89">
        <v>8.7387720000000009</v>
      </c>
      <c r="V21" s="89">
        <v>8.8926979999999993</v>
      </c>
      <c r="W21" s="89">
        <v>9.0759030000000003</v>
      </c>
      <c r="X21" s="89">
        <v>9.2384640000000005</v>
      </c>
      <c r="Y21" s="89">
        <v>9.4107050000000001</v>
      </c>
      <c r="Z21" s="89">
        <v>9.5771110000000004</v>
      </c>
      <c r="AA21" s="89">
        <v>9.7354350000000007</v>
      </c>
      <c r="AB21" s="89">
        <v>9.8898449999999993</v>
      </c>
      <c r="AC21" s="89">
        <v>10.036103000000001</v>
      </c>
      <c r="AD21" s="89">
        <v>10.120157000000001</v>
      </c>
      <c r="AE21" s="89">
        <v>10.171595</v>
      </c>
      <c r="AF21" s="88">
        <v>1.6E-2</v>
      </c>
    </row>
    <row r="22" spans="1:32" x14ac:dyDescent="0.35">
      <c r="A22" s="90" t="s">
        <v>207</v>
      </c>
      <c r="B22" s="89">
        <v>0.206784</v>
      </c>
      <c r="C22" s="89">
        <v>0.17453099999999999</v>
      </c>
      <c r="D22" s="89">
        <v>0.16758300000000001</v>
      </c>
      <c r="E22" s="89">
        <v>0.170125</v>
      </c>
      <c r="F22" s="89">
        <v>0.175653</v>
      </c>
      <c r="G22" s="89">
        <v>0.180169</v>
      </c>
      <c r="H22" s="89">
        <v>0.182397</v>
      </c>
      <c r="I22" s="89">
        <v>0.18262800000000001</v>
      </c>
      <c r="J22" s="305">
        <v>0.18279000000000001</v>
      </c>
      <c r="K22" s="89">
        <v>0.183141</v>
      </c>
      <c r="L22" s="89">
        <v>0.183693</v>
      </c>
      <c r="M22" s="89">
        <v>0.18409600000000001</v>
      </c>
      <c r="N22" s="89">
        <v>0.184338</v>
      </c>
      <c r="O22" s="89">
        <v>0.184419</v>
      </c>
      <c r="P22" s="89">
        <v>0.18467700000000001</v>
      </c>
      <c r="Q22" s="89">
        <v>0.184947</v>
      </c>
      <c r="R22" s="89">
        <v>0.18460699999999999</v>
      </c>
      <c r="S22" s="89">
        <v>0.18383099999999999</v>
      </c>
      <c r="T22" s="89">
        <v>0.18328700000000001</v>
      </c>
      <c r="U22" s="89">
        <v>0.182953</v>
      </c>
      <c r="V22" s="89">
        <v>0.18260100000000001</v>
      </c>
      <c r="W22" s="89">
        <v>0.181391</v>
      </c>
      <c r="X22" s="89">
        <v>0.18104300000000001</v>
      </c>
      <c r="Y22" s="89">
        <v>0.18129500000000001</v>
      </c>
      <c r="Z22" s="89">
        <v>0.181645</v>
      </c>
      <c r="AA22" s="89">
        <v>0.182065</v>
      </c>
      <c r="AB22" s="89">
        <v>0.18260000000000001</v>
      </c>
      <c r="AC22" s="89">
        <v>0.183698</v>
      </c>
      <c r="AD22" s="89">
        <v>0.18465699999999999</v>
      </c>
      <c r="AE22" s="89">
        <v>0.18593100000000001</v>
      </c>
      <c r="AF22" s="88">
        <v>2E-3</v>
      </c>
    </row>
    <row r="23" spans="1:32" x14ac:dyDescent="0.35">
      <c r="A23" s="90" t="s">
        <v>242</v>
      </c>
      <c r="B23" s="89">
        <v>6.865399</v>
      </c>
      <c r="C23" s="89">
        <v>6.2474569999999998</v>
      </c>
      <c r="D23" s="89">
        <v>5.8309129999999998</v>
      </c>
      <c r="E23" s="89">
        <v>6.3053299999999997</v>
      </c>
      <c r="F23" s="89">
        <v>6.4848559999999997</v>
      </c>
      <c r="G23" s="89">
        <v>6.2691509999999999</v>
      </c>
      <c r="H23" s="89">
        <v>6.9593959999999999</v>
      </c>
      <c r="I23" s="89">
        <v>7.5031920000000003</v>
      </c>
      <c r="J23" s="305">
        <v>7.6746239999999997</v>
      </c>
      <c r="K23" s="89">
        <v>7.6716829999999998</v>
      </c>
      <c r="L23" s="89">
        <v>7.662706</v>
      </c>
      <c r="M23" s="89">
        <v>7.5415760000000001</v>
      </c>
      <c r="N23" s="89">
        <v>7.4602760000000004</v>
      </c>
      <c r="O23" s="89">
        <v>7.40463</v>
      </c>
      <c r="P23" s="89">
        <v>7.3865340000000002</v>
      </c>
      <c r="Q23" s="89">
        <v>7.1885630000000003</v>
      </c>
      <c r="R23" s="89">
        <v>7.59741</v>
      </c>
      <c r="S23" s="89">
        <v>7.7494440000000004</v>
      </c>
      <c r="T23" s="89">
        <v>7.5449020000000004</v>
      </c>
      <c r="U23" s="89">
        <v>7.6692600000000004</v>
      </c>
      <c r="V23" s="89">
        <v>7.7507780000000004</v>
      </c>
      <c r="W23" s="89">
        <v>7.6547099999999997</v>
      </c>
      <c r="X23" s="89">
        <v>7.7948950000000004</v>
      </c>
      <c r="Y23" s="89">
        <v>7.8195249999999996</v>
      </c>
      <c r="Z23" s="89">
        <v>7.6864600000000003</v>
      </c>
      <c r="AA23" s="89">
        <v>7.6754360000000004</v>
      </c>
      <c r="AB23" s="89">
        <v>7.6235569999999999</v>
      </c>
      <c r="AC23" s="89">
        <v>7.5998910000000004</v>
      </c>
      <c r="AD23" s="89">
        <v>7.5255280000000004</v>
      </c>
      <c r="AE23" s="89">
        <v>7.3375180000000002</v>
      </c>
      <c r="AF23" s="88">
        <v>6.0000000000000001E-3</v>
      </c>
    </row>
    <row r="24" spans="1:32" x14ac:dyDescent="0.35">
      <c r="A24" s="91" t="s">
        <v>244</v>
      </c>
      <c r="B24" s="93">
        <v>16.710850000000001</v>
      </c>
      <c r="C24" s="93">
        <v>16.236754999999999</v>
      </c>
      <c r="D24" s="93">
        <v>16.493696</v>
      </c>
      <c r="E24" s="93">
        <v>17.132964999999999</v>
      </c>
      <c r="F24" s="93">
        <v>17.629670999999998</v>
      </c>
      <c r="G24" s="93">
        <v>17.755800000000001</v>
      </c>
      <c r="H24" s="93">
        <v>18.626017000000001</v>
      </c>
      <c r="I24" s="93">
        <v>19.253954</v>
      </c>
      <c r="J24" s="306">
        <v>19.529164999999999</v>
      </c>
      <c r="K24" s="93">
        <v>19.66048</v>
      </c>
      <c r="L24" s="93">
        <v>19.778158000000001</v>
      </c>
      <c r="M24" s="93">
        <v>19.796565999999999</v>
      </c>
      <c r="N24" s="93">
        <v>19.858936</v>
      </c>
      <c r="O24" s="93">
        <v>19.931286</v>
      </c>
      <c r="P24" s="93">
        <v>20.054752000000001</v>
      </c>
      <c r="Q24" s="93">
        <v>19.998783</v>
      </c>
      <c r="R24" s="93">
        <v>20.527016</v>
      </c>
      <c r="S24" s="93">
        <v>20.789650000000002</v>
      </c>
      <c r="T24" s="93">
        <v>20.689354000000002</v>
      </c>
      <c r="U24" s="93">
        <v>20.935341000000001</v>
      </c>
      <c r="V24" s="93">
        <v>21.157902</v>
      </c>
      <c r="W24" s="93">
        <v>21.206636</v>
      </c>
      <c r="X24" s="93">
        <v>21.502171000000001</v>
      </c>
      <c r="Y24" s="93">
        <v>21.704326999999999</v>
      </c>
      <c r="Z24" s="93">
        <v>21.750858000000001</v>
      </c>
      <c r="AA24" s="93">
        <v>21.913747999999998</v>
      </c>
      <c r="AB24" s="93">
        <v>22.033992999999999</v>
      </c>
      <c r="AC24" s="93">
        <v>22.177852999999999</v>
      </c>
      <c r="AD24" s="93">
        <v>22.217428000000002</v>
      </c>
      <c r="AE24" s="93">
        <v>22.113464</v>
      </c>
      <c r="AF24" s="92">
        <v>1.0999999999999999E-2</v>
      </c>
    </row>
    <row r="25" spans="1:32" x14ac:dyDescent="0.35">
      <c r="A25" s="90"/>
      <c r="J25" s="190"/>
    </row>
    <row r="26" spans="1:32" x14ac:dyDescent="0.35">
      <c r="A26" s="91" t="s">
        <v>201</v>
      </c>
      <c r="J26" s="190"/>
    </row>
    <row r="27" spans="1:32" x14ac:dyDescent="0.35">
      <c r="A27" s="90" t="s">
        <v>236</v>
      </c>
      <c r="B27" s="89">
        <v>68.891586000000004</v>
      </c>
      <c r="C27" s="89">
        <v>67.901816999999994</v>
      </c>
      <c r="D27" s="89">
        <v>67.741073999999998</v>
      </c>
      <c r="E27" s="89">
        <v>66.713097000000005</v>
      </c>
      <c r="F27" s="89">
        <v>66.327263000000002</v>
      </c>
      <c r="G27" s="89">
        <v>66.341469000000004</v>
      </c>
      <c r="H27" s="89">
        <v>66.085701</v>
      </c>
      <c r="I27" s="89">
        <v>65.577620999999994</v>
      </c>
      <c r="J27" s="305">
        <v>64.925208999999995</v>
      </c>
      <c r="K27" s="89">
        <v>64.195839000000007</v>
      </c>
      <c r="L27" s="89">
        <v>63.454417999999997</v>
      </c>
      <c r="M27" s="89">
        <v>62.633403999999999</v>
      </c>
      <c r="N27" s="89">
        <v>61.865257</v>
      </c>
      <c r="O27" s="89">
        <v>61.052073999999998</v>
      </c>
      <c r="P27" s="89">
        <v>60.229298</v>
      </c>
      <c r="Q27" s="89">
        <v>59.469048000000001</v>
      </c>
      <c r="R27" s="89">
        <v>58.750534000000002</v>
      </c>
      <c r="S27" s="89">
        <v>58.122734000000001</v>
      </c>
      <c r="T27" s="89">
        <v>57.61692</v>
      </c>
      <c r="U27" s="89">
        <v>57.202990999999997</v>
      </c>
      <c r="V27" s="89">
        <v>56.911476</v>
      </c>
      <c r="W27" s="89">
        <v>56.654254999999999</v>
      </c>
      <c r="X27" s="89">
        <v>56.487183000000002</v>
      </c>
      <c r="Y27" s="89">
        <v>56.410564000000001</v>
      </c>
      <c r="Z27" s="89">
        <v>56.336548000000001</v>
      </c>
      <c r="AA27" s="89">
        <v>56.404578999999998</v>
      </c>
      <c r="AB27" s="89">
        <v>56.590854999999998</v>
      </c>
      <c r="AC27" s="89">
        <v>56.776809999999998</v>
      </c>
      <c r="AD27" s="89">
        <v>56.947865</v>
      </c>
      <c r="AE27" s="89">
        <v>57.064113999999996</v>
      </c>
      <c r="AF27" s="88">
        <v>-6.0000000000000001E-3</v>
      </c>
    </row>
    <row r="28" spans="1:32" x14ac:dyDescent="0.35">
      <c r="A28" s="90" t="s">
        <v>243</v>
      </c>
      <c r="B28" s="89">
        <v>0.86672099999999996</v>
      </c>
      <c r="C28" s="89">
        <v>0.904312</v>
      </c>
      <c r="D28" s="89">
        <v>0.81411</v>
      </c>
      <c r="E28" s="89">
        <v>0.87994600000000001</v>
      </c>
      <c r="F28" s="89">
        <v>0.84343599999999996</v>
      </c>
      <c r="G28" s="89">
        <v>0.82702600000000004</v>
      </c>
      <c r="H28" s="89">
        <v>0.843225</v>
      </c>
      <c r="I28" s="89">
        <v>0.85287000000000002</v>
      </c>
      <c r="J28" s="305">
        <v>0.861174</v>
      </c>
      <c r="K28" s="89">
        <v>0.866035</v>
      </c>
      <c r="L28" s="89">
        <v>0.87413300000000005</v>
      </c>
      <c r="M28" s="89">
        <v>0.88097899999999996</v>
      </c>
      <c r="N28" s="89">
        <v>0.89025200000000004</v>
      </c>
      <c r="O28" s="89">
        <v>0.90632299999999999</v>
      </c>
      <c r="P28" s="89">
        <v>0.92538399999999998</v>
      </c>
      <c r="Q28" s="89">
        <v>0.94051499999999999</v>
      </c>
      <c r="R28" s="89">
        <v>0.95251200000000003</v>
      </c>
      <c r="S28" s="89">
        <v>0.99091099999999999</v>
      </c>
      <c r="T28" s="89">
        <v>1.022772</v>
      </c>
      <c r="U28" s="89">
        <v>1.0713809999999999</v>
      </c>
      <c r="V28" s="89">
        <v>1.1233709999999999</v>
      </c>
      <c r="W28" s="89">
        <v>1.183972</v>
      </c>
      <c r="X28" s="89">
        <v>1.251698</v>
      </c>
      <c r="Y28" s="89">
        <v>1.321188</v>
      </c>
      <c r="Z28" s="89">
        <v>1.394309</v>
      </c>
      <c r="AA28" s="89">
        <v>1.5056670000000001</v>
      </c>
      <c r="AB28" s="89">
        <v>1.6166959999999999</v>
      </c>
      <c r="AC28" s="89">
        <v>1.7325699999999999</v>
      </c>
      <c r="AD28" s="89">
        <v>1.834945</v>
      </c>
      <c r="AE28" s="89">
        <v>1.9734510000000001</v>
      </c>
      <c r="AF28" s="88">
        <v>2.8000000000000001E-2</v>
      </c>
    </row>
    <row r="29" spans="1:32" x14ac:dyDescent="0.35">
      <c r="A29" s="90" t="s">
        <v>242</v>
      </c>
      <c r="B29" s="89">
        <v>9.4425999999999996E-2</v>
      </c>
      <c r="C29" s="89">
        <v>9.2100000000000001E-2</v>
      </c>
      <c r="D29" s="89">
        <v>9.4473000000000001E-2</v>
      </c>
      <c r="E29" s="89">
        <v>0.11074100000000001</v>
      </c>
      <c r="F29" s="89">
        <v>0.120265</v>
      </c>
      <c r="G29" s="89">
        <v>0.116677</v>
      </c>
      <c r="H29" s="89">
        <v>0.127915</v>
      </c>
      <c r="I29" s="89">
        <v>0.13855100000000001</v>
      </c>
      <c r="J29" s="305">
        <v>0.145208</v>
      </c>
      <c r="K29" s="89">
        <v>0.147753</v>
      </c>
      <c r="L29" s="89">
        <v>0.149702</v>
      </c>
      <c r="M29" s="89">
        <v>0.15009400000000001</v>
      </c>
      <c r="N29" s="89">
        <v>0.151139</v>
      </c>
      <c r="O29" s="89">
        <v>0.15407599999999999</v>
      </c>
      <c r="P29" s="89">
        <v>0.158637</v>
      </c>
      <c r="Q29" s="89">
        <v>0.16058900000000001</v>
      </c>
      <c r="R29" s="89">
        <v>0.17361399999999999</v>
      </c>
      <c r="S29" s="89">
        <v>0.18404699999999999</v>
      </c>
      <c r="T29" s="89">
        <v>0.187559</v>
      </c>
      <c r="U29" s="89">
        <v>0.197188</v>
      </c>
      <c r="V29" s="89">
        <v>0.204786</v>
      </c>
      <c r="W29" s="89">
        <v>0.208395</v>
      </c>
      <c r="X29" s="89">
        <v>0.21726400000000001</v>
      </c>
      <c r="Y29" s="89">
        <v>0.22406300000000001</v>
      </c>
      <c r="Z29" s="89">
        <v>0.227766</v>
      </c>
      <c r="AA29" s="89">
        <v>0.234432</v>
      </c>
      <c r="AB29" s="89">
        <v>0.23991499999999999</v>
      </c>
      <c r="AC29" s="89">
        <v>0.246088</v>
      </c>
      <c r="AD29" s="89">
        <v>0.25056899999999999</v>
      </c>
      <c r="AE29" s="89">
        <v>0.252137</v>
      </c>
      <c r="AF29" s="88">
        <v>3.6999999999999998E-2</v>
      </c>
    </row>
    <row r="30" spans="1:32" x14ac:dyDescent="0.35">
      <c r="A30" s="91" t="s">
        <v>241</v>
      </c>
      <c r="B30" s="93">
        <v>69.852737000000005</v>
      </c>
      <c r="C30" s="93">
        <v>68.898231999999993</v>
      </c>
      <c r="D30" s="93">
        <v>68.649658000000002</v>
      </c>
      <c r="E30" s="93">
        <v>67.703781000000006</v>
      </c>
      <c r="F30" s="93">
        <v>67.290961999999993</v>
      </c>
      <c r="G30" s="93">
        <v>67.285172000000003</v>
      </c>
      <c r="H30" s="93">
        <v>67.056838999999997</v>
      </c>
      <c r="I30" s="93">
        <v>66.569038000000006</v>
      </c>
      <c r="J30" s="306">
        <v>65.931595000000002</v>
      </c>
      <c r="K30" s="93">
        <v>65.209625000000003</v>
      </c>
      <c r="L30" s="93">
        <v>64.478256000000002</v>
      </c>
      <c r="M30" s="93">
        <v>63.664473999999998</v>
      </c>
      <c r="N30" s="93">
        <v>62.906647</v>
      </c>
      <c r="O30" s="93">
        <v>62.112473000000001</v>
      </c>
      <c r="P30" s="93">
        <v>61.313319999999997</v>
      </c>
      <c r="Q30" s="93">
        <v>60.570148000000003</v>
      </c>
      <c r="R30" s="93">
        <v>59.876658999999997</v>
      </c>
      <c r="S30" s="93">
        <v>59.297691</v>
      </c>
      <c r="T30" s="93">
        <v>58.827250999999997</v>
      </c>
      <c r="U30" s="93">
        <v>58.471561000000001</v>
      </c>
      <c r="V30" s="93">
        <v>58.239632</v>
      </c>
      <c r="W30" s="93">
        <v>58.046619</v>
      </c>
      <c r="X30" s="93">
        <v>57.956145999999997</v>
      </c>
      <c r="Y30" s="93">
        <v>57.955813999999997</v>
      </c>
      <c r="Z30" s="93">
        <v>57.958626000000002</v>
      </c>
      <c r="AA30" s="93">
        <v>58.144680000000001</v>
      </c>
      <c r="AB30" s="93">
        <v>58.447463999999997</v>
      </c>
      <c r="AC30" s="93">
        <v>58.755465999999998</v>
      </c>
      <c r="AD30" s="93">
        <v>59.033378999999996</v>
      </c>
      <c r="AE30" s="93">
        <v>59.289700000000003</v>
      </c>
      <c r="AF30" s="92">
        <v>-5.0000000000000001E-3</v>
      </c>
    </row>
    <row r="31" spans="1:32" x14ac:dyDescent="0.35">
      <c r="A31" s="90"/>
      <c r="J31" s="190"/>
    </row>
    <row r="32" spans="1:32" x14ac:dyDescent="0.35">
      <c r="A32" s="91" t="s">
        <v>240</v>
      </c>
    </row>
    <row r="33" spans="1:32" x14ac:dyDescent="0.35">
      <c r="A33" s="90" t="s">
        <v>239</v>
      </c>
      <c r="B33" s="89">
        <v>0.58241699999999996</v>
      </c>
      <c r="C33" s="89">
        <v>0.40017200000000003</v>
      </c>
      <c r="D33" s="89">
        <v>0.30032700000000001</v>
      </c>
      <c r="E33" s="89">
        <v>0.299263</v>
      </c>
      <c r="F33" s="89">
        <v>0.30102400000000001</v>
      </c>
      <c r="G33" s="89">
        <v>0.29138700000000001</v>
      </c>
      <c r="H33" s="89">
        <v>9.3478000000000006E-2</v>
      </c>
      <c r="I33" s="89">
        <v>0.100532</v>
      </c>
      <c r="J33" s="89">
        <v>0.115839</v>
      </c>
      <c r="K33" s="89">
        <v>0.116858</v>
      </c>
      <c r="L33" s="89">
        <v>0.108835</v>
      </c>
      <c r="M33" s="89">
        <v>9.4955999999999999E-2</v>
      </c>
      <c r="N33" s="89">
        <v>9.4571000000000002E-2</v>
      </c>
      <c r="O33" s="89">
        <v>8.0378000000000005E-2</v>
      </c>
      <c r="P33" s="89">
        <v>8.0384999999999998E-2</v>
      </c>
      <c r="Q33" s="89">
        <v>7.6891000000000001E-2</v>
      </c>
      <c r="R33" s="89">
        <v>8.3776000000000003E-2</v>
      </c>
      <c r="S33" s="89">
        <v>8.5586999999999996E-2</v>
      </c>
      <c r="T33" s="89">
        <v>8.5962999999999998E-2</v>
      </c>
      <c r="U33" s="89">
        <v>8.5684999999999997E-2</v>
      </c>
      <c r="V33" s="89">
        <v>8.5387000000000005E-2</v>
      </c>
      <c r="W33" s="89">
        <v>8.1560999999999995E-2</v>
      </c>
      <c r="X33" s="89">
        <v>8.0754000000000006E-2</v>
      </c>
      <c r="Y33" s="89">
        <v>8.0065999999999998E-2</v>
      </c>
      <c r="Z33" s="89">
        <v>7.7724000000000001E-2</v>
      </c>
      <c r="AA33" s="89">
        <v>7.7802999999999997E-2</v>
      </c>
      <c r="AB33" s="89">
        <v>7.6617000000000005E-2</v>
      </c>
      <c r="AC33" s="89">
        <v>7.7223E-2</v>
      </c>
      <c r="AD33" s="89">
        <v>7.7356999999999995E-2</v>
      </c>
      <c r="AE33" s="89">
        <v>7.7539999999999998E-2</v>
      </c>
      <c r="AF33" s="88">
        <v>-5.7000000000000002E-2</v>
      </c>
    </row>
    <row r="34" spans="1:32" x14ac:dyDescent="0.35">
      <c r="A34" s="90" t="s">
        <v>177</v>
      </c>
      <c r="B34" s="89">
        <v>24.017769000000001</v>
      </c>
      <c r="C34" s="89">
        <v>23.434649</v>
      </c>
      <c r="D34" s="89">
        <v>23.223777999999999</v>
      </c>
      <c r="E34" s="89">
        <v>23.888013999999998</v>
      </c>
      <c r="F34" s="89">
        <v>24.180917999999998</v>
      </c>
      <c r="G34" s="89">
        <v>24.815708000000001</v>
      </c>
      <c r="H34" s="89">
        <v>25.48312</v>
      </c>
      <c r="I34" s="89">
        <v>25.592461</v>
      </c>
      <c r="J34" s="89">
        <v>25.492529000000001</v>
      </c>
      <c r="K34" s="89">
        <v>24.955120000000001</v>
      </c>
      <c r="L34" s="89">
        <v>24.574476000000001</v>
      </c>
      <c r="M34" s="89">
        <v>23.879465</v>
      </c>
      <c r="N34" s="89">
        <v>23.360451000000001</v>
      </c>
      <c r="O34" s="89">
        <v>23.096520999999999</v>
      </c>
      <c r="P34" s="89">
        <v>23.009606999999999</v>
      </c>
      <c r="Q34" s="89">
        <v>22.287157000000001</v>
      </c>
      <c r="R34" s="89">
        <v>21.225203</v>
      </c>
      <c r="S34" s="89">
        <v>21.146934999999999</v>
      </c>
      <c r="T34" s="89">
        <v>20.352250999999999</v>
      </c>
      <c r="U34" s="89">
        <v>20.662676000000001</v>
      </c>
      <c r="V34" s="89">
        <v>20.929030999999998</v>
      </c>
      <c r="W34" s="89">
        <v>21.522113999999998</v>
      </c>
      <c r="X34" s="89">
        <v>22.118573999999999</v>
      </c>
      <c r="Y34" s="89">
        <v>22.454734999999999</v>
      </c>
      <c r="Z34" s="89">
        <v>22.176629999999999</v>
      </c>
      <c r="AA34" s="89">
        <v>21.943999999999999</v>
      </c>
      <c r="AB34" s="89">
        <v>21.784824</v>
      </c>
      <c r="AC34" s="89">
        <v>21.517641000000001</v>
      </c>
      <c r="AD34" s="89">
        <v>21.163757</v>
      </c>
      <c r="AE34" s="89">
        <v>20.399073000000001</v>
      </c>
      <c r="AF34" s="88">
        <v>-5.0000000000000001E-3</v>
      </c>
    </row>
    <row r="35" spans="1:32" x14ac:dyDescent="0.35">
      <c r="A35" s="90" t="s">
        <v>207</v>
      </c>
      <c r="B35" s="89">
        <v>6.960585</v>
      </c>
      <c r="C35" s="89">
        <v>4.4764429999999997</v>
      </c>
      <c r="D35" s="89">
        <v>4.4477679999999999</v>
      </c>
      <c r="E35" s="89">
        <v>4.4109429999999996</v>
      </c>
      <c r="F35" s="89">
        <v>4.3006979999999997</v>
      </c>
      <c r="G35" s="89">
        <v>1.2396689999999999</v>
      </c>
      <c r="H35" s="89">
        <v>2.6730119999999999</v>
      </c>
      <c r="I35" s="89">
        <v>4.3653890000000004</v>
      </c>
      <c r="J35" s="89">
        <v>5.1288119999999999</v>
      </c>
      <c r="K35" s="89">
        <v>5.2902050000000003</v>
      </c>
      <c r="L35" s="89">
        <v>5.4107399999999997</v>
      </c>
      <c r="M35" s="89">
        <v>5.4836289999999996</v>
      </c>
      <c r="N35" s="89">
        <v>5.5232770000000002</v>
      </c>
      <c r="O35" s="89">
        <v>5.5489509999999997</v>
      </c>
      <c r="P35" s="89">
        <v>5.5757859999999999</v>
      </c>
      <c r="Q35" s="89">
        <v>5.5764370000000003</v>
      </c>
      <c r="R35" s="89">
        <v>8.2044739999999994</v>
      </c>
      <c r="S35" s="89">
        <v>8.9428169999999998</v>
      </c>
      <c r="T35" s="89">
        <v>9.0604549999999993</v>
      </c>
      <c r="U35" s="89">
        <v>9.1095070000000007</v>
      </c>
      <c r="V35" s="89">
        <v>9.0616249999999994</v>
      </c>
      <c r="W35" s="89">
        <v>8.0744690000000006</v>
      </c>
      <c r="X35" s="89">
        <v>7.9912999999999998</v>
      </c>
      <c r="Y35" s="89">
        <v>7.7433779999999999</v>
      </c>
      <c r="Z35" s="89">
        <v>7.5426780000000004</v>
      </c>
      <c r="AA35" s="89">
        <v>7.7377580000000004</v>
      </c>
      <c r="AB35" s="89">
        <v>7.6383970000000003</v>
      </c>
      <c r="AC35" s="89">
        <v>7.7850010000000003</v>
      </c>
      <c r="AD35" s="89">
        <v>7.8018970000000003</v>
      </c>
      <c r="AE35" s="89">
        <v>7.7981720000000001</v>
      </c>
      <c r="AF35" s="88">
        <v>0.02</v>
      </c>
    </row>
    <row r="36" spans="1:32" x14ac:dyDescent="0.35">
      <c r="A36" s="90" t="s">
        <v>235</v>
      </c>
      <c r="B36" s="89">
        <v>2.8395299999999999</v>
      </c>
      <c r="C36" s="89">
        <v>2.8395299999999999</v>
      </c>
      <c r="D36" s="89">
        <v>2.8395299999999999</v>
      </c>
      <c r="E36" s="89">
        <v>2.8395299999999999</v>
      </c>
      <c r="F36" s="89">
        <v>2.8395299999999999</v>
      </c>
      <c r="G36" s="89">
        <v>2.8395299999999999</v>
      </c>
      <c r="H36" s="89">
        <v>2.8395299999999999</v>
      </c>
      <c r="I36" s="89">
        <v>2.8395299999999999</v>
      </c>
      <c r="J36" s="89">
        <v>2.8395299999999999</v>
      </c>
      <c r="K36" s="89">
        <v>2.8395299999999999</v>
      </c>
      <c r="L36" s="89">
        <v>2.8395299999999999</v>
      </c>
      <c r="M36" s="89">
        <v>2.8395299999999999</v>
      </c>
      <c r="N36" s="89">
        <v>2.8395299999999999</v>
      </c>
      <c r="O36" s="89">
        <v>2.8395299999999999</v>
      </c>
      <c r="P36" s="89">
        <v>2.8395299999999999</v>
      </c>
      <c r="Q36" s="89">
        <v>2.8395299999999999</v>
      </c>
      <c r="R36" s="89">
        <v>2.8395299999999999</v>
      </c>
      <c r="S36" s="89">
        <v>2.8395299999999999</v>
      </c>
      <c r="T36" s="89">
        <v>2.8395299999999999</v>
      </c>
      <c r="U36" s="89">
        <v>2.8395299999999999</v>
      </c>
      <c r="V36" s="89">
        <v>2.8395299999999999</v>
      </c>
      <c r="W36" s="89">
        <v>2.8395299999999999</v>
      </c>
      <c r="X36" s="89">
        <v>2.8395299999999999</v>
      </c>
      <c r="Y36" s="89">
        <v>2.8395299999999999</v>
      </c>
      <c r="Z36" s="89">
        <v>2.8395299999999999</v>
      </c>
      <c r="AA36" s="89">
        <v>2.8395299999999999</v>
      </c>
      <c r="AB36" s="89">
        <v>2.8395299999999999</v>
      </c>
      <c r="AC36" s="89">
        <v>2.8395299999999999</v>
      </c>
      <c r="AD36" s="89">
        <v>2.8395299999999999</v>
      </c>
      <c r="AE36" s="89">
        <v>2.8395299999999999</v>
      </c>
      <c r="AF36" s="88">
        <v>0</v>
      </c>
    </row>
    <row r="37" spans="1:32" x14ac:dyDescent="0.35">
      <c r="A37" s="91" t="s">
        <v>238</v>
      </c>
      <c r="B37" s="93">
        <v>34.400298999999997</v>
      </c>
      <c r="C37" s="93">
        <v>31.150794999999999</v>
      </c>
      <c r="D37" s="93">
        <v>30.811401</v>
      </c>
      <c r="E37" s="93">
        <v>31.437747999999999</v>
      </c>
      <c r="F37" s="93">
        <v>31.622169</v>
      </c>
      <c r="G37" s="93">
        <v>29.186295000000001</v>
      </c>
      <c r="H37" s="93">
        <v>31.089137999999998</v>
      </c>
      <c r="I37" s="93">
        <v>32.897911000000001</v>
      </c>
      <c r="J37" s="93">
        <v>33.576709999999999</v>
      </c>
      <c r="K37" s="93">
        <v>33.201714000000003</v>
      </c>
      <c r="L37" s="93">
        <v>32.933582000000001</v>
      </c>
      <c r="M37" s="93">
        <v>32.297581000000001</v>
      </c>
      <c r="N37" s="93">
        <v>31.817829</v>
      </c>
      <c r="O37" s="93">
        <v>31.565380000000001</v>
      </c>
      <c r="P37" s="93">
        <v>31.505310000000001</v>
      </c>
      <c r="Q37" s="93">
        <v>30.780014000000001</v>
      </c>
      <c r="R37" s="93">
        <v>32.352984999999997</v>
      </c>
      <c r="S37" s="93">
        <v>33.014870000000002</v>
      </c>
      <c r="T37" s="93">
        <v>32.338200000000001</v>
      </c>
      <c r="U37" s="93">
        <v>32.697398999999997</v>
      </c>
      <c r="V37" s="93">
        <v>32.915573000000002</v>
      </c>
      <c r="W37" s="93">
        <v>32.517673000000002</v>
      </c>
      <c r="X37" s="93">
        <v>33.030158999999998</v>
      </c>
      <c r="Y37" s="93">
        <v>33.117710000000002</v>
      </c>
      <c r="Z37" s="93">
        <v>32.636561999999998</v>
      </c>
      <c r="AA37" s="93">
        <v>32.599091000000001</v>
      </c>
      <c r="AB37" s="93">
        <v>32.339367000000003</v>
      </c>
      <c r="AC37" s="93">
        <v>32.219394999999999</v>
      </c>
      <c r="AD37" s="93">
        <v>31.882542000000001</v>
      </c>
      <c r="AE37" s="93">
        <v>31.114315000000001</v>
      </c>
      <c r="AF37" s="92">
        <v>0</v>
      </c>
    </row>
    <row r="38" spans="1:32" x14ac:dyDescent="0.35">
      <c r="A38" s="90"/>
    </row>
    <row r="39" spans="1:32" x14ac:dyDescent="0.35">
      <c r="A39" s="91" t="s">
        <v>237</v>
      </c>
    </row>
    <row r="40" spans="1:32" x14ac:dyDescent="0.35">
      <c r="A40" s="90" t="s">
        <v>236</v>
      </c>
      <c r="B40" s="89">
        <v>97.757987999999997</v>
      </c>
      <c r="C40" s="89">
        <v>94.809532000000004</v>
      </c>
      <c r="D40" s="89">
        <v>95.525429000000003</v>
      </c>
      <c r="E40" s="89">
        <v>95.612206</v>
      </c>
      <c r="F40" s="89">
        <v>94.408112000000003</v>
      </c>
      <c r="G40" s="89">
        <v>94.396500000000003</v>
      </c>
      <c r="H40" s="89">
        <v>93.801376000000005</v>
      </c>
      <c r="I40" s="89">
        <v>93.045769000000007</v>
      </c>
      <c r="J40" s="89">
        <v>92.082954000000001</v>
      </c>
      <c r="K40" s="89">
        <v>91.009345999999994</v>
      </c>
      <c r="L40" s="89">
        <v>89.935074</v>
      </c>
      <c r="M40" s="89">
        <v>88.770554000000004</v>
      </c>
      <c r="N40" s="89">
        <v>87.706023999999999</v>
      </c>
      <c r="O40" s="89">
        <v>86.618706000000003</v>
      </c>
      <c r="P40" s="89">
        <v>85.551131999999996</v>
      </c>
      <c r="Q40" s="89">
        <v>84.531173999999993</v>
      </c>
      <c r="R40" s="89">
        <v>83.560294999999996</v>
      </c>
      <c r="S40" s="89">
        <v>82.690331</v>
      </c>
      <c r="T40" s="89">
        <v>81.931618</v>
      </c>
      <c r="U40" s="89">
        <v>81.284424000000001</v>
      </c>
      <c r="V40" s="89">
        <v>80.743117999999996</v>
      </c>
      <c r="W40" s="89">
        <v>80.215652000000006</v>
      </c>
      <c r="X40" s="89">
        <v>79.822104999999993</v>
      </c>
      <c r="Y40" s="89">
        <v>79.537064000000001</v>
      </c>
      <c r="Z40" s="89">
        <v>79.284653000000006</v>
      </c>
      <c r="AA40" s="89">
        <v>79.186317000000003</v>
      </c>
      <c r="AB40" s="89">
        <v>79.217635999999999</v>
      </c>
      <c r="AC40" s="89">
        <v>79.262978000000004</v>
      </c>
      <c r="AD40" s="89">
        <v>79.296195999999995</v>
      </c>
      <c r="AE40" s="89">
        <v>79.280022000000002</v>
      </c>
      <c r="AF40" s="88">
        <v>-6.0000000000000001E-3</v>
      </c>
    </row>
    <row r="41" spans="1:32" x14ac:dyDescent="0.35">
      <c r="A41" s="90" t="s">
        <v>177</v>
      </c>
      <c r="B41" s="89">
        <v>50.259276999999997</v>
      </c>
      <c r="C41" s="89">
        <v>48.644019999999998</v>
      </c>
      <c r="D41" s="89">
        <v>51.694321000000002</v>
      </c>
      <c r="E41" s="89">
        <v>53.172809999999998</v>
      </c>
      <c r="F41" s="89">
        <v>52.717896000000003</v>
      </c>
      <c r="G41" s="89">
        <v>53.701481000000001</v>
      </c>
      <c r="H41" s="89">
        <v>54.632384999999999</v>
      </c>
      <c r="I41" s="89">
        <v>54.882584000000001</v>
      </c>
      <c r="J41" s="89">
        <v>54.965846999999997</v>
      </c>
      <c r="K41" s="89">
        <v>54.650848000000003</v>
      </c>
      <c r="L41" s="89">
        <v>54.436829000000003</v>
      </c>
      <c r="M41" s="89">
        <v>53.925826999999998</v>
      </c>
      <c r="N41" s="89">
        <v>53.595450999999997</v>
      </c>
      <c r="O41" s="89">
        <v>53.483215000000001</v>
      </c>
      <c r="P41" s="89">
        <v>53.52478</v>
      </c>
      <c r="Q41" s="89">
        <v>52.945362000000003</v>
      </c>
      <c r="R41" s="89">
        <v>52.005836000000002</v>
      </c>
      <c r="S41" s="89">
        <v>52.081017000000003</v>
      </c>
      <c r="T41" s="89">
        <v>51.416172000000003</v>
      </c>
      <c r="U41" s="89">
        <v>51.891044999999998</v>
      </c>
      <c r="V41" s="89">
        <v>52.436332999999998</v>
      </c>
      <c r="W41" s="89">
        <v>53.428435999999998</v>
      </c>
      <c r="X41" s="89">
        <v>54.425888</v>
      </c>
      <c r="Y41" s="89">
        <v>55.138801999999998</v>
      </c>
      <c r="Z41" s="89">
        <v>55.218147000000002</v>
      </c>
      <c r="AA41" s="89">
        <v>55.353374000000002</v>
      </c>
      <c r="AB41" s="89">
        <v>55.562736999999998</v>
      </c>
      <c r="AC41" s="89">
        <v>55.674239999999998</v>
      </c>
      <c r="AD41" s="89">
        <v>55.582382000000003</v>
      </c>
      <c r="AE41" s="89">
        <v>55.064117000000003</v>
      </c>
      <c r="AF41" s="88">
        <v>4.0000000000000001E-3</v>
      </c>
    </row>
    <row r="42" spans="1:32" x14ac:dyDescent="0.35">
      <c r="A42" s="90" t="s">
        <v>207</v>
      </c>
      <c r="B42" s="89">
        <v>7.1673689999999999</v>
      </c>
      <c r="C42" s="89">
        <v>4.6509739999999997</v>
      </c>
      <c r="D42" s="89">
        <v>4.6153510000000004</v>
      </c>
      <c r="E42" s="89">
        <v>4.5810680000000001</v>
      </c>
      <c r="F42" s="89">
        <v>4.4763510000000002</v>
      </c>
      <c r="G42" s="89">
        <v>1.4198379999999999</v>
      </c>
      <c r="H42" s="89">
        <v>2.8554080000000002</v>
      </c>
      <c r="I42" s="89">
        <v>4.5480169999999998</v>
      </c>
      <c r="J42" s="89">
        <v>5.3116019999999997</v>
      </c>
      <c r="K42" s="89">
        <v>5.4733460000000003</v>
      </c>
      <c r="L42" s="89">
        <v>5.5944330000000004</v>
      </c>
      <c r="M42" s="89">
        <v>5.6677249999999999</v>
      </c>
      <c r="N42" s="89">
        <v>5.7076149999999997</v>
      </c>
      <c r="O42" s="89">
        <v>5.7333699999999999</v>
      </c>
      <c r="P42" s="89">
        <v>5.7604620000000004</v>
      </c>
      <c r="Q42" s="89">
        <v>5.7613839999999996</v>
      </c>
      <c r="R42" s="89">
        <v>8.3890820000000001</v>
      </c>
      <c r="S42" s="89">
        <v>9.1266479999999994</v>
      </c>
      <c r="T42" s="89">
        <v>9.2437430000000003</v>
      </c>
      <c r="U42" s="89">
        <v>9.2924589999999991</v>
      </c>
      <c r="V42" s="89">
        <v>9.2442259999999994</v>
      </c>
      <c r="W42" s="89">
        <v>8.2558589999999992</v>
      </c>
      <c r="X42" s="89">
        <v>8.1723429999999997</v>
      </c>
      <c r="Y42" s="89">
        <v>7.9246730000000003</v>
      </c>
      <c r="Z42" s="89">
        <v>7.7243240000000002</v>
      </c>
      <c r="AA42" s="89">
        <v>7.9198230000000001</v>
      </c>
      <c r="AB42" s="89">
        <v>7.8209970000000002</v>
      </c>
      <c r="AC42" s="89">
        <v>7.968699</v>
      </c>
      <c r="AD42" s="89">
        <v>7.9865539999999999</v>
      </c>
      <c r="AE42" s="89">
        <v>7.9841030000000002</v>
      </c>
      <c r="AF42" s="88">
        <v>1.9E-2</v>
      </c>
    </row>
    <row r="43" spans="1:32" x14ac:dyDescent="0.35">
      <c r="A43" s="90" t="s">
        <v>235</v>
      </c>
      <c r="B43" s="89">
        <v>2.8395299999999999</v>
      </c>
      <c r="C43" s="89">
        <v>2.8395299999999999</v>
      </c>
      <c r="D43" s="89">
        <v>2.8395299999999999</v>
      </c>
      <c r="E43" s="89">
        <v>2.8395299999999999</v>
      </c>
      <c r="F43" s="89">
        <v>2.8395299999999999</v>
      </c>
      <c r="G43" s="89">
        <v>2.8395299999999999</v>
      </c>
      <c r="H43" s="89">
        <v>2.8395299999999999</v>
      </c>
      <c r="I43" s="89">
        <v>2.8395299999999999</v>
      </c>
      <c r="J43" s="89">
        <v>2.8395299999999999</v>
      </c>
      <c r="K43" s="89">
        <v>2.8395299999999999</v>
      </c>
      <c r="L43" s="89">
        <v>2.8395299999999999</v>
      </c>
      <c r="M43" s="89">
        <v>2.8395299999999999</v>
      </c>
      <c r="N43" s="89">
        <v>2.8395299999999999</v>
      </c>
      <c r="O43" s="89">
        <v>2.8395299999999999</v>
      </c>
      <c r="P43" s="89">
        <v>2.8395299999999999</v>
      </c>
      <c r="Q43" s="89">
        <v>2.8395299999999999</v>
      </c>
      <c r="R43" s="89">
        <v>2.8395299999999999</v>
      </c>
      <c r="S43" s="89">
        <v>2.8395299999999999</v>
      </c>
      <c r="T43" s="89">
        <v>2.8395299999999999</v>
      </c>
      <c r="U43" s="89">
        <v>2.8395299999999999</v>
      </c>
      <c r="V43" s="89">
        <v>2.8395299999999999</v>
      </c>
      <c r="W43" s="89">
        <v>2.8395299999999999</v>
      </c>
      <c r="X43" s="89">
        <v>2.8395299999999999</v>
      </c>
      <c r="Y43" s="89">
        <v>2.8395299999999999</v>
      </c>
      <c r="Z43" s="89">
        <v>2.8395299999999999</v>
      </c>
      <c r="AA43" s="89">
        <v>2.8395299999999999</v>
      </c>
      <c r="AB43" s="89">
        <v>2.8395299999999999</v>
      </c>
      <c r="AC43" s="89">
        <v>2.8395299999999999</v>
      </c>
      <c r="AD43" s="89">
        <v>2.8395299999999999</v>
      </c>
      <c r="AE43" s="89">
        <v>2.8395299999999999</v>
      </c>
      <c r="AF43" s="88">
        <v>0</v>
      </c>
    </row>
    <row r="44" spans="1:32" x14ac:dyDescent="0.35">
      <c r="A44" s="91" t="s">
        <v>160</v>
      </c>
      <c r="B44" s="93">
        <v>158.02417</v>
      </c>
      <c r="C44" s="93">
        <v>150.94404599999999</v>
      </c>
      <c r="D44" s="93">
        <v>154.67463699999999</v>
      </c>
      <c r="E44" s="93">
        <v>156.205612</v>
      </c>
      <c r="F44" s="93">
        <v>154.441879</v>
      </c>
      <c r="G44" s="93">
        <v>152.35734600000001</v>
      </c>
      <c r="H44" s="93">
        <v>154.128693</v>
      </c>
      <c r="I44" s="93">
        <v>155.315887</v>
      </c>
      <c r="J44" s="93">
        <v>155.19992099999999</v>
      </c>
      <c r="K44" s="93">
        <v>153.97305299999999</v>
      </c>
      <c r="L44" s="93">
        <v>152.80586199999999</v>
      </c>
      <c r="M44" s="93">
        <v>151.20362900000001</v>
      </c>
      <c r="N44" s="93">
        <v>149.84861799999999</v>
      </c>
      <c r="O44" s="93">
        <v>148.67482000000001</v>
      </c>
      <c r="P44" s="93">
        <v>147.67590300000001</v>
      </c>
      <c r="Q44" s="93">
        <v>146.077438</v>
      </c>
      <c r="R44" s="93">
        <v>146.79473899999999</v>
      </c>
      <c r="S44" s="93">
        <v>146.73751799999999</v>
      </c>
      <c r="T44" s="93">
        <v>145.431061</v>
      </c>
      <c r="U44" s="93">
        <v>145.30746500000001</v>
      </c>
      <c r="V44" s="93">
        <v>145.26319899999999</v>
      </c>
      <c r="W44" s="93">
        <v>144.73947100000001</v>
      </c>
      <c r="X44" s="93">
        <v>145.25985700000001</v>
      </c>
      <c r="Y44" s="93">
        <v>145.44006300000001</v>
      </c>
      <c r="Z44" s="93">
        <v>145.06665000000001</v>
      </c>
      <c r="AA44" s="93">
        <v>145.299026</v>
      </c>
      <c r="AB44" s="93">
        <v>145.440887</v>
      </c>
      <c r="AC44" s="93">
        <v>145.745453</v>
      </c>
      <c r="AD44" s="93">
        <v>145.70465100000001</v>
      </c>
      <c r="AE44" s="93">
        <v>145.16776999999999</v>
      </c>
      <c r="AF44" s="92">
        <v>-1E-3</v>
      </c>
    </row>
    <row r="45" spans="1:32" x14ac:dyDescent="0.35">
      <c r="A45" s="90"/>
    </row>
    <row r="46" spans="1:32" x14ac:dyDescent="0.35">
      <c r="A46" s="91" t="s">
        <v>234</v>
      </c>
    </row>
    <row r="47" spans="1:32" ht="34.5" x14ac:dyDescent="0.35">
      <c r="A47" s="91" t="s">
        <v>233</v>
      </c>
      <c r="B47" s="93">
        <v>10.866641</v>
      </c>
      <c r="C47" s="93">
        <v>10.356144</v>
      </c>
      <c r="D47" s="93">
        <v>10.586104000000001</v>
      </c>
      <c r="E47" s="93">
        <v>10.667054</v>
      </c>
      <c r="F47" s="93">
        <v>10.524245000000001</v>
      </c>
      <c r="G47" s="93">
        <v>10.361281</v>
      </c>
      <c r="H47" s="93">
        <v>10.461676000000001</v>
      </c>
      <c r="I47" s="93">
        <v>10.522762</v>
      </c>
      <c r="J47" s="93">
        <v>10.496187000000001</v>
      </c>
      <c r="K47" s="93">
        <v>10.395599000000001</v>
      </c>
      <c r="L47" s="93">
        <v>10.300579000000001</v>
      </c>
      <c r="M47" s="93">
        <v>10.177896</v>
      </c>
      <c r="N47" s="93">
        <v>10.073496</v>
      </c>
      <c r="O47" s="93">
        <v>9.9828220000000005</v>
      </c>
      <c r="P47" s="93">
        <v>9.9055389999999992</v>
      </c>
      <c r="Q47" s="93">
        <v>9.7897490000000005</v>
      </c>
      <c r="R47" s="93">
        <v>9.8305869999999995</v>
      </c>
      <c r="S47" s="93">
        <v>9.8210130000000007</v>
      </c>
      <c r="T47" s="93">
        <v>9.7294830000000001</v>
      </c>
      <c r="U47" s="93">
        <v>9.7188429999999997</v>
      </c>
      <c r="V47" s="93">
        <v>9.7156319999999994</v>
      </c>
      <c r="W47" s="93">
        <v>9.6824169999999992</v>
      </c>
      <c r="X47" s="93">
        <v>9.7210400000000003</v>
      </c>
      <c r="Y47" s="93">
        <v>9.7388110000000001</v>
      </c>
      <c r="Z47" s="93">
        <v>9.7214369999999999</v>
      </c>
      <c r="AA47" s="93">
        <v>9.746613</v>
      </c>
      <c r="AB47" s="93">
        <v>9.7675230000000006</v>
      </c>
      <c r="AC47" s="93">
        <v>9.8010699999999993</v>
      </c>
      <c r="AD47" s="93">
        <v>9.8130039999999994</v>
      </c>
      <c r="AE47" s="93">
        <v>9.7930419999999998</v>
      </c>
      <c r="AF47" s="92">
        <v>-2E-3</v>
      </c>
    </row>
    <row r="48" spans="1:32" x14ac:dyDescent="0.35">
      <c r="A48" s="90"/>
    </row>
    <row r="49" spans="1:32" s="87" customFormat="1" ht="15" customHeight="1" x14ac:dyDescent="0.35">
      <c r="A49" s="484" t="s">
        <v>232</v>
      </c>
      <c r="B49" s="484"/>
      <c r="C49" s="484"/>
      <c r="D49" s="484"/>
      <c r="E49" s="484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  <c r="AA49" s="484"/>
      <c r="AB49" s="484"/>
      <c r="AC49" s="484"/>
      <c r="AD49" s="484"/>
      <c r="AE49" s="484"/>
      <c r="AF49" s="484"/>
    </row>
    <row r="50" spans="1:32" ht="15" customHeight="1" x14ac:dyDescent="0.35">
      <c r="A50" s="481" t="s">
        <v>231</v>
      </c>
      <c r="B50" s="481"/>
      <c r="C50" s="481"/>
      <c r="D50" s="481"/>
      <c r="E50" s="481"/>
      <c r="F50" s="481"/>
      <c r="G50" s="481"/>
      <c r="H50" s="481"/>
      <c r="I50" s="481"/>
      <c r="J50" s="481"/>
      <c r="K50" s="481"/>
      <c r="L50" s="481"/>
      <c r="M50" s="481"/>
      <c r="N50" s="481"/>
      <c r="O50" s="481"/>
      <c r="P50" s="481"/>
      <c r="Q50" s="481"/>
      <c r="R50" s="481"/>
      <c r="S50" s="481"/>
      <c r="T50" s="481"/>
      <c r="U50" s="481"/>
      <c r="V50" s="481"/>
      <c r="W50" s="481"/>
      <c r="X50" s="481"/>
      <c r="Y50" s="481"/>
      <c r="Z50" s="481"/>
      <c r="AA50" s="481"/>
      <c r="AB50" s="481"/>
      <c r="AC50" s="481"/>
      <c r="AD50" s="481"/>
      <c r="AE50" s="481"/>
      <c r="AF50" s="481"/>
    </row>
    <row r="51" spans="1:32" ht="15" customHeight="1" x14ac:dyDescent="0.35">
      <c r="A51" s="481" t="s">
        <v>230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N51" s="481"/>
      <c r="O51" s="481"/>
      <c r="P51" s="481"/>
      <c r="Q51" s="481"/>
      <c r="R51" s="481"/>
      <c r="S51" s="481"/>
      <c r="T51" s="481"/>
      <c r="U51" s="481"/>
      <c r="V51" s="481"/>
      <c r="W51" s="481"/>
      <c r="X51" s="481"/>
      <c r="Y51" s="481"/>
      <c r="Z51" s="481"/>
      <c r="AA51" s="481"/>
      <c r="AB51" s="481"/>
      <c r="AC51" s="481"/>
      <c r="AD51" s="481"/>
      <c r="AE51" s="481"/>
      <c r="AF51" s="481"/>
    </row>
    <row r="52" spans="1:32" ht="15" customHeight="1" x14ac:dyDescent="0.35">
      <c r="A52" s="481" t="s">
        <v>229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  <c r="AB52" s="481"/>
      <c r="AC52" s="481"/>
      <c r="AD52" s="481"/>
      <c r="AE52" s="481"/>
      <c r="AF52" s="481"/>
    </row>
    <row r="53" spans="1:32" ht="15" customHeight="1" x14ac:dyDescent="0.35">
      <c r="A53" s="481" t="s">
        <v>228</v>
      </c>
      <c r="B53" s="481"/>
      <c r="C53" s="481"/>
      <c r="D53" s="481"/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1"/>
      <c r="U53" s="481"/>
      <c r="V53" s="481"/>
      <c r="W53" s="481"/>
      <c r="X53" s="481"/>
      <c r="Y53" s="481"/>
      <c r="Z53" s="481"/>
      <c r="AA53" s="481"/>
      <c r="AB53" s="481"/>
      <c r="AC53" s="481"/>
      <c r="AD53" s="481"/>
      <c r="AE53" s="481"/>
      <c r="AF53" s="481"/>
    </row>
    <row r="54" spans="1:32" ht="15" customHeight="1" x14ac:dyDescent="0.35">
      <c r="A54" s="481" t="s">
        <v>227</v>
      </c>
      <c r="B54" s="481"/>
      <c r="C54" s="481"/>
      <c r="D54" s="481"/>
      <c r="E54" s="481"/>
      <c r="F54" s="481"/>
      <c r="G54" s="481"/>
      <c r="H54" s="481"/>
      <c r="I54" s="481"/>
      <c r="J54" s="481"/>
      <c r="K54" s="481"/>
      <c r="L54" s="481"/>
      <c r="M54" s="481"/>
      <c r="N54" s="481"/>
      <c r="O54" s="481"/>
      <c r="P54" s="481"/>
      <c r="Q54" s="481"/>
      <c r="R54" s="481"/>
      <c r="S54" s="481"/>
      <c r="T54" s="481"/>
      <c r="U54" s="481"/>
      <c r="V54" s="481"/>
      <c r="W54" s="481"/>
      <c r="X54" s="481"/>
      <c r="Y54" s="481"/>
      <c r="Z54" s="481"/>
      <c r="AA54" s="481"/>
      <c r="AB54" s="481"/>
      <c r="AC54" s="481"/>
      <c r="AD54" s="481"/>
      <c r="AE54" s="481"/>
      <c r="AF54" s="481"/>
    </row>
    <row r="55" spans="1:32" ht="15" customHeight="1" x14ac:dyDescent="0.35">
      <c r="A55" s="481" t="s">
        <v>226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481"/>
      <c r="O55" s="481"/>
      <c r="P55" s="481"/>
      <c r="Q55" s="481"/>
      <c r="R55" s="481"/>
      <c r="S55" s="481"/>
      <c r="T55" s="481"/>
      <c r="U55" s="481"/>
      <c r="V55" s="481"/>
      <c r="W55" s="481"/>
      <c r="X55" s="481"/>
      <c r="Y55" s="481"/>
      <c r="Z55" s="481"/>
      <c r="AA55" s="481"/>
      <c r="AB55" s="481"/>
      <c r="AC55" s="481"/>
      <c r="AD55" s="481"/>
      <c r="AE55" s="481"/>
      <c r="AF55" s="481"/>
    </row>
    <row r="56" spans="1:32" ht="15" customHeight="1" x14ac:dyDescent="0.35">
      <c r="A56" s="481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481"/>
      <c r="O56" s="481"/>
      <c r="P56" s="481"/>
      <c r="Q56" s="481"/>
      <c r="R56" s="481"/>
      <c r="S56" s="481"/>
      <c r="T56" s="481"/>
      <c r="U56" s="481"/>
      <c r="V56" s="481"/>
      <c r="W56" s="481"/>
      <c r="X56" s="481"/>
      <c r="Y56" s="481"/>
      <c r="Z56" s="481"/>
      <c r="AA56" s="481"/>
      <c r="AB56" s="481"/>
      <c r="AC56" s="481"/>
      <c r="AD56" s="481"/>
      <c r="AE56" s="481"/>
      <c r="AF56" s="481"/>
    </row>
    <row r="57" spans="1:32" ht="15" customHeight="1" x14ac:dyDescent="0.35">
      <c r="A57" s="481" t="s">
        <v>224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481"/>
      <c r="O57" s="481"/>
      <c r="P57" s="481"/>
      <c r="Q57" s="481"/>
      <c r="R57" s="481"/>
      <c r="S57" s="481"/>
      <c r="T57" s="481"/>
      <c r="U57" s="481"/>
      <c r="V57" s="481"/>
      <c r="W57" s="481"/>
      <c r="X57" s="481"/>
      <c r="Y57" s="481"/>
      <c r="Z57" s="481"/>
      <c r="AA57" s="481"/>
      <c r="AB57" s="481"/>
      <c r="AC57" s="481"/>
      <c r="AD57" s="481"/>
      <c r="AE57" s="481"/>
      <c r="AF57" s="481"/>
    </row>
    <row r="58" spans="1:32" ht="15" customHeight="1" x14ac:dyDescent="0.35">
      <c r="A58" s="481" t="s">
        <v>120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481"/>
      <c r="O58" s="481"/>
      <c r="P58" s="481"/>
      <c r="Q58" s="481"/>
      <c r="R58" s="481"/>
      <c r="S58" s="481"/>
      <c r="T58" s="481"/>
      <c r="U58" s="481"/>
      <c r="V58" s="481"/>
      <c r="W58" s="481"/>
      <c r="X58" s="481"/>
      <c r="Y58" s="481"/>
      <c r="Z58" s="481"/>
      <c r="AA58" s="481"/>
      <c r="AB58" s="481"/>
      <c r="AC58" s="481"/>
      <c r="AD58" s="481"/>
      <c r="AE58" s="481"/>
      <c r="AF58" s="481"/>
    </row>
    <row r="59" spans="1:32" ht="15" customHeight="1" x14ac:dyDescent="0.35">
      <c r="A59" s="481" t="s">
        <v>223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N59" s="481"/>
      <c r="O59" s="481"/>
      <c r="P59" s="481"/>
      <c r="Q59" s="481"/>
      <c r="R59" s="481"/>
      <c r="S59" s="481"/>
      <c r="T59" s="481"/>
      <c r="U59" s="481"/>
      <c r="V59" s="481"/>
      <c r="W59" s="481"/>
      <c r="X59" s="481"/>
      <c r="Y59" s="481"/>
      <c r="Z59" s="481"/>
      <c r="AA59" s="481"/>
      <c r="AB59" s="481"/>
      <c r="AC59" s="481"/>
      <c r="AD59" s="481"/>
      <c r="AE59" s="481"/>
      <c r="AF59" s="481"/>
    </row>
    <row r="60" spans="1:32" ht="15" customHeight="1" x14ac:dyDescent="0.35">
      <c r="A60" s="481" t="s">
        <v>222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N60" s="481"/>
      <c r="O60" s="481"/>
      <c r="P60" s="481"/>
      <c r="Q60" s="481"/>
      <c r="R60" s="481"/>
      <c r="S60" s="481"/>
      <c r="T60" s="481"/>
      <c r="U60" s="481"/>
      <c r="V60" s="481"/>
      <c r="W60" s="481"/>
      <c r="X60" s="481"/>
      <c r="Y60" s="481"/>
      <c r="Z60" s="481"/>
      <c r="AA60" s="481"/>
      <c r="AB60" s="481"/>
      <c r="AC60" s="481"/>
      <c r="AD60" s="481"/>
      <c r="AE60" s="481"/>
      <c r="AF60" s="481"/>
    </row>
    <row r="61" spans="1:32" ht="15" customHeight="1" x14ac:dyDescent="0.35">
      <c r="A61" s="481" t="s">
        <v>221</v>
      </c>
      <c r="B61" s="481"/>
      <c r="C61" s="481"/>
      <c r="D61" s="481"/>
      <c r="E61" s="481"/>
      <c r="F61" s="481"/>
      <c r="G61" s="481"/>
      <c r="H61" s="481"/>
      <c r="I61" s="481"/>
      <c r="J61" s="481"/>
      <c r="K61" s="481"/>
      <c r="L61" s="481"/>
      <c r="M61" s="481"/>
      <c r="N61" s="481"/>
      <c r="O61" s="481"/>
      <c r="P61" s="481"/>
      <c r="Q61" s="481"/>
      <c r="R61" s="481"/>
      <c r="S61" s="481"/>
      <c r="T61" s="481"/>
      <c r="U61" s="481"/>
      <c r="V61" s="481"/>
      <c r="W61" s="481"/>
      <c r="X61" s="481"/>
      <c r="Y61" s="481"/>
      <c r="Z61" s="481"/>
      <c r="AA61" s="481"/>
      <c r="AB61" s="481"/>
      <c r="AC61" s="481"/>
      <c r="AD61" s="481"/>
      <c r="AE61" s="481"/>
      <c r="AF61" s="481"/>
    </row>
    <row r="62" spans="1:32" ht="15" customHeight="1" x14ac:dyDescent="0.35">
      <c r="A62" s="481" t="s">
        <v>220</v>
      </c>
      <c r="B62" s="481"/>
      <c r="C62" s="481"/>
      <c r="D62" s="481"/>
      <c r="E62" s="481"/>
      <c r="F62" s="481"/>
      <c r="G62" s="481"/>
      <c r="H62" s="481"/>
      <c r="I62" s="481"/>
      <c r="J62" s="481"/>
      <c r="K62" s="481"/>
      <c r="L62" s="481"/>
      <c r="M62" s="481"/>
      <c r="N62" s="481"/>
      <c r="O62" s="481"/>
      <c r="P62" s="481"/>
      <c r="Q62" s="481"/>
      <c r="R62" s="481"/>
      <c r="S62" s="481"/>
      <c r="T62" s="481"/>
      <c r="U62" s="481"/>
      <c r="V62" s="481"/>
      <c r="W62" s="481"/>
      <c r="X62" s="481"/>
      <c r="Y62" s="481"/>
      <c r="Z62" s="481"/>
      <c r="AA62" s="481"/>
      <c r="AB62" s="481"/>
      <c r="AC62" s="481"/>
      <c r="AD62" s="481"/>
      <c r="AE62" s="481"/>
      <c r="AF62" s="481"/>
    </row>
    <row r="63" spans="1:32" ht="15" customHeight="1" x14ac:dyDescent="0.35">
      <c r="A63" s="481" t="s">
        <v>219</v>
      </c>
      <c r="B63" s="481"/>
      <c r="C63" s="481"/>
      <c r="D63" s="481"/>
      <c r="E63" s="481"/>
      <c r="F63" s="481"/>
      <c r="G63" s="481"/>
      <c r="H63" s="481"/>
      <c r="I63" s="481"/>
      <c r="J63" s="481"/>
      <c r="K63" s="481"/>
      <c r="L63" s="481"/>
      <c r="M63" s="481"/>
      <c r="N63" s="481"/>
      <c r="O63" s="481"/>
      <c r="P63" s="481"/>
      <c r="Q63" s="481"/>
      <c r="R63" s="481"/>
      <c r="S63" s="481"/>
      <c r="T63" s="481"/>
      <c r="U63" s="481"/>
      <c r="V63" s="481"/>
      <c r="W63" s="481"/>
      <c r="X63" s="481"/>
      <c r="Y63" s="481"/>
      <c r="Z63" s="481"/>
      <c r="AA63" s="481"/>
      <c r="AB63" s="481"/>
      <c r="AC63" s="481"/>
      <c r="AD63" s="481"/>
      <c r="AE63" s="481"/>
      <c r="AF63" s="481"/>
    </row>
    <row r="64" spans="1:32" ht="15" customHeight="1" x14ac:dyDescent="0.35">
      <c r="A64" s="481" t="s">
        <v>218</v>
      </c>
      <c r="B64" s="481"/>
      <c r="C64" s="481"/>
      <c r="D64" s="481"/>
      <c r="E64" s="481"/>
      <c r="F64" s="481"/>
      <c r="G64" s="481"/>
      <c r="H64" s="481"/>
      <c r="I64" s="481"/>
      <c r="J64" s="481"/>
      <c r="K64" s="481"/>
      <c r="L64" s="481"/>
      <c r="M64" s="481"/>
      <c r="N64" s="481"/>
      <c r="O64" s="481"/>
      <c r="P64" s="481"/>
      <c r="Q64" s="481"/>
      <c r="R64" s="481"/>
      <c r="S64" s="481"/>
      <c r="T64" s="481"/>
      <c r="U64" s="481"/>
      <c r="V64" s="481"/>
      <c r="W64" s="481"/>
      <c r="X64" s="481"/>
      <c r="Y64" s="481"/>
      <c r="Z64" s="481"/>
      <c r="AA64" s="481"/>
      <c r="AB64" s="481"/>
      <c r="AC64" s="481"/>
      <c r="AD64" s="481"/>
      <c r="AE64" s="481"/>
      <c r="AF64" s="481"/>
    </row>
    <row r="65" spans="1:32" ht="15" customHeight="1" x14ac:dyDescent="0.35">
      <c r="A65" s="481" t="s">
        <v>217</v>
      </c>
      <c r="B65" s="481"/>
      <c r="C65" s="481"/>
      <c r="D65" s="481"/>
      <c r="E65" s="481"/>
      <c r="F65" s="481"/>
      <c r="G65" s="481"/>
      <c r="H65" s="481"/>
      <c r="I65" s="481"/>
      <c r="J65" s="481"/>
      <c r="K65" s="481"/>
      <c r="L65" s="481"/>
      <c r="M65" s="481"/>
      <c r="N65" s="481"/>
      <c r="O65" s="481"/>
      <c r="P65" s="481"/>
      <c r="Q65" s="481"/>
      <c r="R65" s="481"/>
      <c r="S65" s="481"/>
      <c r="T65" s="481"/>
      <c r="U65" s="481"/>
      <c r="V65" s="481"/>
      <c r="W65" s="481"/>
      <c r="X65" s="481"/>
      <c r="Y65" s="481"/>
      <c r="Z65" s="481"/>
      <c r="AA65" s="481"/>
      <c r="AB65" s="481"/>
      <c r="AC65" s="481"/>
      <c r="AD65" s="481"/>
      <c r="AE65" s="481"/>
      <c r="AF65" s="481"/>
    </row>
    <row r="66" spans="1:32" ht="15" customHeight="1" x14ac:dyDescent="0.35">
      <c r="A66" s="481" t="s">
        <v>216</v>
      </c>
      <c r="B66" s="481"/>
      <c r="C66" s="481"/>
      <c r="D66" s="481"/>
      <c r="E66" s="481"/>
      <c r="F66" s="481"/>
      <c r="G66" s="481"/>
      <c r="H66" s="481"/>
      <c r="I66" s="481"/>
      <c r="J66" s="481"/>
      <c r="K66" s="481"/>
      <c r="L66" s="481"/>
      <c r="M66" s="481"/>
      <c r="N66" s="481"/>
      <c r="O66" s="481"/>
      <c r="P66" s="481"/>
      <c r="Q66" s="481"/>
      <c r="R66" s="481"/>
      <c r="S66" s="481"/>
      <c r="T66" s="481"/>
      <c r="U66" s="481"/>
      <c r="V66" s="481"/>
      <c r="W66" s="481"/>
      <c r="X66" s="481"/>
      <c r="Y66" s="481"/>
      <c r="Z66" s="481"/>
      <c r="AA66" s="481"/>
      <c r="AB66" s="481"/>
      <c r="AC66" s="481"/>
      <c r="AD66" s="481"/>
      <c r="AE66" s="481"/>
      <c r="AF66" s="481"/>
    </row>
    <row r="67" spans="1:32" ht="15" customHeight="1" x14ac:dyDescent="0.35">
      <c r="A67" s="481" t="s">
        <v>215</v>
      </c>
      <c r="B67" s="481"/>
      <c r="C67" s="481"/>
      <c r="D67" s="481"/>
      <c r="E67" s="481"/>
      <c r="F67" s="481"/>
      <c r="G67" s="481"/>
      <c r="H67" s="481"/>
      <c r="I67" s="481"/>
      <c r="J67" s="481"/>
      <c r="K67" s="481"/>
      <c r="L67" s="481"/>
      <c r="M67" s="481"/>
      <c r="N67" s="481"/>
      <c r="O67" s="481"/>
      <c r="P67" s="481"/>
      <c r="Q67" s="481"/>
      <c r="R67" s="481"/>
      <c r="S67" s="481"/>
      <c r="T67" s="481"/>
      <c r="U67" s="481"/>
      <c r="V67" s="481"/>
      <c r="W67" s="481"/>
      <c r="X67" s="481"/>
      <c r="Y67" s="481"/>
      <c r="Z67" s="481"/>
      <c r="AA67" s="481"/>
      <c r="AB67" s="481"/>
      <c r="AC67" s="481"/>
      <c r="AD67" s="481"/>
      <c r="AE67" s="481"/>
      <c r="AF67" s="481"/>
    </row>
  </sheetData>
  <mergeCells count="22">
    <mergeCell ref="A1:AF1"/>
    <mergeCell ref="A2:AF2"/>
    <mergeCell ref="A3:AF3"/>
    <mergeCell ref="A49:AF49"/>
    <mergeCell ref="A50:AF50"/>
    <mergeCell ref="A51:AF51"/>
    <mergeCell ref="A52:AF52"/>
    <mergeCell ref="A53:AF53"/>
    <mergeCell ref="A54:AF54"/>
    <mergeCell ref="A55:AF55"/>
    <mergeCell ref="A56:AF56"/>
    <mergeCell ref="A57:AF57"/>
    <mergeCell ref="A64:AF64"/>
    <mergeCell ref="A65:AF65"/>
    <mergeCell ref="A66:AF66"/>
    <mergeCell ref="A67:AF67"/>
    <mergeCell ref="A58:AF58"/>
    <mergeCell ref="A59:AF59"/>
    <mergeCell ref="A60:AF60"/>
    <mergeCell ref="A61:AF61"/>
    <mergeCell ref="A62:AF62"/>
    <mergeCell ref="A63:AF6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</sheetPr>
  <dimension ref="B2:BG415"/>
  <sheetViews>
    <sheetView showGridLines="0" topLeftCell="A19" zoomScale="85" zoomScaleNormal="85" workbookViewId="0">
      <selection activeCell="AJ76" sqref="AJ76"/>
    </sheetView>
  </sheetViews>
  <sheetFormatPr defaultRowHeight="17.25" x14ac:dyDescent="0.35"/>
  <cols>
    <col min="1" max="34" width="2.625" customWidth="1"/>
    <col min="36" max="36" width="9.125" bestFit="1" customWidth="1"/>
    <col min="37" max="37" width="9.25" bestFit="1" customWidth="1"/>
    <col min="38" max="43" width="9.125" bestFit="1" customWidth="1"/>
  </cols>
  <sheetData>
    <row r="2" spans="2:48" ht="24.75" x14ac:dyDescent="0.5">
      <c r="B2" s="198" t="s">
        <v>415</v>
      </c>
      <c r="AI2" s="246" t="s">
        <v>413</v>
      </c>
      <c r="AJ2" t="s">
        <v>333</v>
      </c>
      <c r="AK2" t="s">
        <v>334</v>
      </c>
      <c r="AL2" t="s">
        <v>336</v>
      </c>
      <c r="AM2" t="s">
        <v>371</v>
      </c>
      <c r="AN2" t="s">
        <v>372</v>
      </c>
      <c r="AO2" t="s">
        <v>373</v>
      </c>
      <c r="AP2" t="s">
        <v>374</v>
      </c>
      <c r="AQ2" t="s">
        <v>335</v>
      </c>
    </row>
    <row r="3" spans="2:48" x14ac:dyDescent="0.35">
      <c r="AG3" s="187"/>
      <c r="AJ3" t="s">
        <v>337</v>
      </c>
      <c r="AK3" t="s">
        <v>338</v>
      </c>
      <c r="AL3" t="s">
        <v>339</v>
      </c>
      <c r="AM3" t="s">
        <v>340</v>
      </c>
      <c r="AN3" t="s">
        <v>341</v>
      </c>
      <c r="AO3" t="s">
        <v>342</v>
      </c>
      <c r="AP3" t="s">
        <v>343</v>
      </c>
      <c r="AQ3" t="s">
        <v>344</v>
      </c>
    </row>
    <row r="4" spans="2:48" x14ac:dyDescent="0.35">
      <c r="B4" s="244" t="s">
        <v>412</v>
      </c>
      <c r="AG4" s="187"/>
      <c r="AI4" s="113">
        <v>2015</v>
      </c>
      <c r="AJ4" s="107">
        <f ca="1">INDIRECT(AJ$2&amp;"!H29")</f>
        <v>416.75783869987492</v>
      </c>
      <c r="AK4" s="107">
        <f t="shared" ref="AK4:AQ4" ca="1" si="0">INDIRECT(AK$2&amp;"!H29")</f>
        <v>427.05208869987496</v>
      </c>
      <c r="AL4" s="107">
        <f t="shared" ca="1" si="0"/>
        <v>417.08774869987496</v>
      </c>
      <c r="AM4" s="107">
        <f t="shared" ca="1" si="0"/>
        <v>416.75783869987492</v>
      </c>
      <c r="AN4" s="107">
        <f t="shared" ca="1" si="0"/>
        <v>417.0945516998749</v>
      </c>
      <c r="AO4" s="107">
        <f t="shared" ca="1" si="0"/>
        <v>417.0945516998749</v>
      </c>
      <c r="AP4" s="107">
        <f t="shared" ca="1" si="0"/>
        <v>417.49346889987493</v>
      </c>
      <c r="AQ4" s="107">
        <f t="shared" ca="1" si="0"/>
        <v>417.0945516998749</v>
      </c>
      <c r="AS4" s="108">
        <f ca="1">MIN(AJ4:AQ4)</f>
        <v>416.75783869987492</v>
      </c>
      <c r="AT4" s="108">
        <f ca="1">MAX(AJ4:AQ4)</f>
        <v>427.05208869987496</v>
      </c>
      <c r="AU4" s="364">
        <f ca="1">AS4/RefTables!$F$10</f>
        <v>407.78653493138444</v>
      </c>
      <c r="AV4" s="364">
        <f ca="1">AT4/RefTables!$F$10</f>
        <v>417.85918659478961</v>
      </c>
    </row>
    <row r="5" spans="2:48" x14ac:dyDescent="0.35">
      <c r="AG5" s="187"/>
      <c r="AI5" s="113">
        <v>2020</v>
      </c>
      <c r="AJ5" s="107">
        <f ca="1">INDIRECT(AJ$2&amp;"!H34")</f>
        <v>488.53867264280228</v>
      </c>
      <c r="AK5" s="107">
        <f t="shared" ref="AK5:AQ5" ca="1" si="1">INDIRECT(AK$2&amp;"!H34")</f>
        <v>523.35853264280229</v>
      </c>
      <c r="AL5" s="107">
        <f t="shared" ca="1" si="1"/>
        <v>484.01999264280232</v>
      </c>
      <c r="AM5" s="107">
        <f t="shared" ca="1" si="1"/>
        <v>465.01501264280228</v>
      </c>
      <c r="AN5" s="107">
        <f t="shared" ca="1" si="1"/>
        <v>463.94886298110816</v>
      </c>
      <c r="AO5" s="107">
        <f t="shared" ca="1" si="1"/>
        <v>469.53177264777486</v>
      </c>
      <c r="AP5" s="107">
        <f t="shared" ca="1" si="1"/>
        <v>456.74198384777486</v>
      </c>
      <c r="AQ5" s="107">
        <f t="shared" ca="1" si="1"/>
        <v>439.05675964777481</v>
      </c>
      <c r="AS5" s="108">
        <f t="shared" ref="AS5:AS6" ca="1" si="2">MIN(AJ5:AQ5)</f>
        <v>439.05675964777481</v>
      </c>
      <c r="AT5" s="108">
        <f t="shared" ref="AT5:AT6" ca="1" si="3">MAX(AJ5:AQ5)</f>
        <v>523.35853264280229</v>
      </c>
      <c r="AU5" s="364">
        <f ca="1">AS5/RefTables!$F$10</f>
        <v>429.60543996846849</v>
      </c>
      <c r="AV5" s="364">
        <f ca="1">AT5/RefTables!$F$10</f>
        <v>512.09249769354426</v>
      </c>
    </row>
    <row r="6" spans="2:48" x14ac:dyDescent="0.35">
      <c r="AG6" s="187"/>
      <c r="AI6" s="113">
        <v>2030</v>
      </c>
      <c r="AJ6" s="107">
        <f ca="1">INDIRECT(AJ$2&amp;"!H44")</f>
        <v>486.86367488521319</v>
      </c>
      <c r="AK6" s="107">
        <f t="shared" ref="AK6:AQ6" ca="1" si="4">INDIRECT(AK$2&amp;"!H44")</f>
        <v>520.40307488521319</v>
      </c>
      <c r="AL6" s="107">
        <f t="shared" ca="1" si="4"/>
        <v>469.60344488521321</v>
      </c>
      <c r="AM6" s="107">
        <f t="shared" ca="1" si="4"/>
        <v>453.74363488521317</v>
      </c>
      <c r="AN6" s="107">
        <f t="shared" ca="1" si="4"/>
        <v>400.58521083048424</v>
      </c>
      <c r="AO6" s="107">
        <f t="shared" ca="1" si="4"/>
        <v>393.50109893993704</v>
      </c>
      <c r="AP6" s="107">
        <f t="shared" ca="1" si="4"/>
        <v>359.27725731619853</v>
      </c>
      <c r="AQ6" s="107">
        <f t="shared" ca="1" si="4"/>
        <v>382.88530416381764</v>
      </c>
      <c r="AS6" s="108">
        <f t="shared" ca="1" si="2"/>
        <v>359.27725731619853</v>
      </c>
      <c r="AT6" s="108">
        <f t="shared" ca="1" si="3"/>
        <v>520.40307488521319</v>
      </c>
      <c r="AU6" s="364">
        <f ca="1">AS6/RefTables!$F$10</f>
        <v>351.54330461467566</v>
      </c>
      <c r="AV6" s="364">
        <f ca="1">AT6/RefTables!$F$10</f>
        <v>509.20066035735147</v>
      </c>
    </row>
    <row r="7" spans="2:48" x14ac:dyDescent="0.35">
      <c r="AG7" s="187"/>
    </row>
    <row r="8" spans="2:48" x14ac:dyDescent="0.35">
      <c r="AG8" s="187"/>
      <c r="AI8" t="s">
        <v>411</v>
      </c>
    </row>
    <row r="9" spans="2:48" x14ac:dyDescent="0.35">
      <c r="AG9" s="187"/>
      <c r="AI9" s="113">
        <v>2015</v>
      </c>
      <c r="AK9" s="245">
        <f t="shared" ref="AK9:AQ11" ca="1" si="5">AK4/$AJ4-1</f>
        <v>2.4700795147882815E-2</v>
      </c>
      <c r="AL9" s="245">
        <f t="shared" ca="1" si="5"/>
        <v>7.9161078536449381E-4</v>
      </c>
      <c r="AM9" s="245">
        <f t="shared" ca="1" si="5"/>
        <v>0</v>
      </c>
      <c r="AN9" s="245">
        <f t="shared" ca="1" si="5"/>
        <v>8.0793441354432005E-4</v>
      </c>
      <c r="AO9" s="245">
        <f t="shared" ca="1" si="5"/>
        <v>8.0793441354432005E-4</v>
      </c>
      <c r="AP9" s="245">
        <f t="shared" ca="1" si="5"/>
        <v>1.7651262476428009E-3</v>
      </c>
      <c r="AQ9" s="245">
        <f t="shared" ca="1" si="5"/>
        <v>8.0793441354432005E-4</v>
      </c>
    </row>
    <row r="10" spans="2:48" x14ac:dyDescent="0.35">
      <c r="AG10" s="187"/>
      <c r="AI10" s="113">
        <v>2020</v>
      </c>
      <c r="AK10" s="245">
        <f t="shared" ca="1" si="5"/>
        <v>7.1273497779895889E-2</v>
      </c>
      <c r="AL10" s="245">
        <f t="shared" ca="1" si="5"/>
        <v>-9.2493803521339624E-3</v>
      </c>
      <c r="AM10" s="245">
        <f t="shared" ca="1" si="5"/>
        <v>-4.8151070359990666E-2</v>
      </c>
      <c r="AN10" s="245">
        <f t="shared" ca="1" si="5"/>
        <v>-5.0333394342504945E-2</v>
      </c>
      <c r="AO10" s="245">
        <f t="shared" ca="1" si="5"/>
        <v>-3.8905620085729509E-2</v>
      </c>
      <c r="AP10" s="245">
        <f t="shared" ca="1" si="5"/>
        <v>-6.5085305576772057E-2</v>
      </c>
      <c r="AQ10" s="245">
        <f t="shared" ca="1" si="5"/>
        <v>-0.10128555990736565</v>
      </c>
    </row>
    <row r="11" spans="2:48" x14ac:dyDescent="0.35">
      <c r="AG11" s="187"/>
      <c r="AI11" s="113">
        <v>2030</v>
      </c>
      <c r="AK11" s="245">
        <f t="shared" ca="1" si="5"/>
        <v>6.8888688415514876E-2</v>
      </c>
      <c r="AL11" s="245">
        <f t="shared" ca="1" si="5"/>
        <v>-3.5451874704082953E-2</v>
      </c>
      <c r="AM11" s="245">
        <f t="shared" ca="1" si="5"/>
        <v>-6.8027338469662246E-2</v>
      </c>
      <c r="AN11" s="245">
        <f t="shared" ca="1" si="5"/>
        <v>-0.17721277742700903</v>
      </c>
      <c r="AO11" s="245">
        <f t="shared" ca="1" si="5"/>
        <v>-0.19176328151260835</v>
      </c>
      <c r="AP11" s="245">
        <f t="shared" ca="1" si="5"/>
        <v>-0.26205778773513022</v>
      </c>
      <c r="AQ11" s="245">
        <f t="shared" ca="1" si="5"/>
        <v>-0.21356773175963539</v>
      </c>
    </row>
    <row r="12" spans="2:48" x14ac:dyDescent="0.35">
      <c r="AG12" s="187"/>
    </row>
    <row r="13" spans="2:48" x14ac:dyDescent="0.35">
      <c r="AG13" s="187"/>
    </row>
    <row r="14" spans="2:48" x14ac:dyDescent="0.35">
      <c r="AG14" s="187"/>
      <c r="AI14" s="246" t="s">
        <v>434</v>
      </c>
    </row>
    <row r="15" spans="2:48" x14ac:dyDescent="0.35">
      <c r="AG15" s="187"/>
      <c r="AJ15" t="s">
        <v>337</v>
      </c>
      <c r="AK15" t="s">
        <v>338</v>
      </c>
      <c r="AL15" t="s">
        <v>339</v>
      </c>
      <c r="AM15" t="s">
        <v>340</v>
      </c>
      <c r="AN15" t="s">
        <v>341</v>
      </c>
      <c r="AO15" t="s">
        <v>342</v>
      </c>
      <c r="AP15" t="s">
        <v>343</v>
      </c>
      <c r="AQ15" t="s">
        <v>344</v>
      </c>
    </row>
    <row r="16" spans="2:48" x14ac:dyDescent="0.35">
      <c r="AG16" s="187"/>
      <c r="AI16" s="113">
        <v>2015</v>
      </c>
      <c r="AJ16" s="249">
        <v>0</v>
      </c>
      <c r="AK16" s="249">
        <f t="shared" ref="AK16:AQ25" ca="1" si="6">INDIRECT(AK$2&amp;"!Q"&amp;$AR16)</f>
        <v>-411.28127599780237</v>
      </c>
      <c r="AL16" s="249">
        <f t="shared" ca="1" si="6"/>
        <v>-5.7377429551706882E-2</v>
      </c>
      <c r="AM16" s="249">
        <f t="shared" ca="1" si="6"/>
        <v>-3.637978807091713E-12</v>
      </c>
      <c r="AN16" s="249">
        <f t="shared" ca="1" si="6"/>
        <v>11.287427640083779</v>
      </c>
      <c r="AO16" s="249">
        <f t="shared" ca="1" si="6"/>
        <v>99.498301125989499</v>
      </c>
      <c r="AP16" s="249">
        <f t="shared" ca="1" si="6"/>
        <v>11.873801984875836</v>
      </c>
      <c r="AQ16" s="249">
        <f t="shared" ca="1" si="6"/>
        <v>11.287427640083779</v>
      </c>
      <c r="AR16" s="251">
        <v>48</v>
      </c>
      <c r="AT16" s="107"/>
      <c r="AU16" s="77"/>
    </row>
    <row r="17" spans="2:47" x14ac:dyDescent="0.35">
      <c r="AG17" s="187"/>
      <c r="AI17" s="113">
        <f t="shared" ref="AI17:AI30" si="7">AI16+1</f>
        <v>2016</v>
      </c>
      <c r="AJ17" s="249">
        <v>0</v>
      </c>
      <c r="AK17" s="249">
        <f t="shared" ca="1" si="6"/>
        <v>-464.49492836188438</v>
      </c>
      <c r="AL17" s="249">
        <f t="shared" ca="1" si="6"/>
        <v>25.655447896885562</v>
      </c>
      <c r="AM17" s="249">
        <f t="shared" ca="1" si="6"/>
        <v>-5.0022208597511053E-12</v>
      </c>
      <c r="AN17" s="249">
        <f t="shared" ca="1" si="6"/>
        <v>13.999323889352766</v>
      </c>
      <c r="AO17" s="249">
        <f t="shared" ca="1" si="6"/>
        <v>72.941837890252657</v>
      </c>
      <c r="AP17" s="249">
        <f t="shared" ca="1" si="6"/>
        <v>51.312458148124463</v>
      </c>
      <c r="AQ17" s="249">
        <f t="shared" ca="1" si="6"/>
        <v>14.016703480209983</v>
      </c>
      <c r="AR17" s="251">
        <f>AR16+1</f>
        <v>49</v>
      </c>
      <c r="AT17" s="107"/>
      <c r="AU17" s="77"/>
    </row>
    <row r="18" spans="2:47" x14ac:dyDescent="0.35">
      <c r="AG18" s="187"/>
      <c r="AI18" s="113">
        <f t="shared" si="7"/>
        <v>2017</v>
      </c>
      <c r="AJ18" s="249">
        <v>0</v>
      </c>
      <c r="AK18" s="249">
        <f t="shared" ca="1" si="6"/>
        <v>-72.057926208210574</v>
      </c>
      <c r="AL18" s="249">
        <f t="shared" ca="1" si="6"/>
        <v>146.93501994224198</v>
      </c>
      <c r="AM18" s="249">
        <f t="shared" ca="1" si="6"/>
        <v>59.305208492921793</v>
      </c>
      <c r="AN18" s="249">
        <f t="shared" ca="1" si="6"/>
        <v>63.819087618632537</v>
      </c>
      <c r="AO18" s="249">
        <f t="shared" ca="1" si="6"/>
        <v>-69.830674020813561</v>
      </c>
      <c r="AP18" s="249">
        <f t="shared" ca="1" si="6"/>
        <v>168.27903932771989</v>
      </c>
      <c r="AQ18" s="249">
        <f t="shared" ca="1" si="6"/>
        <v>63.853849066258434</v>
      </c>
      <c r="AR18" s="251">
        <f t="shared" ref="AR18:AR31" si="8">AR17+1</f>
        <v>50</v>
      </c>
      <c r="AT18" s="107"/>
      <c r="AU18" s="77"/>
    </row>
    <row r="19" spans="2:47" x14ac:dyDescent="0.35">
      <c r="AG19" s="187"/>
      <c r="AI19" s="113">
        <f t="shared" si="7"/>
        <v>2018</v>
      </c>
      <c r="AJ19" s="249">
        <v>0</v>
      </c>
      <c r="AK19" s="249">
        <f t="shared" ca="1" si="6"/>
        <v>-114.58207474728806</v>
      </c>
      <c r="AL19" s="249">
        <f t="shared" ca="1" si="6"/>
        <v>101.86557936306053</v>
      </c>
      <c r="AM19" s="249">
        <f t="shared" ca="1" si="6"/>
        <v>48.655089521142202</v>
      </c>
      <c r="AN19" s="249">
        <f t="shared" ca="1" si="6"/>
        <v>84.70016867664819</v>
      </c>
      <c r="AO19" s="249">
        <f t="shared" ca="1" si="6"/>
        <v>-123.15186391794346</v>
      </c>
      <c r="AP19" s="249">
        <f t="shared" ca="1" si="6"/>
        <v>122.89363142526204</v>
      </c>
      <c r="AQ19" s="249">
        <f t="shared" ca="1" si="6"/>
        <v>41.752493393755032</v>
      </c>
      <c r="AR19" s="251">
        <f t="shared" si="8"/>
        <v>51</v>
      </c>
      <c r="AT19" s="107"/>
      <c r="AU19" s="77"/>
    </row>
    <row r="20" spans="2:47" x14ac:dyDescent="0.35">
      <c r="B20" s="244" t="s">
        <v>414</v>
      </c>
      <c r="AG20" s="187"/>
      <c r="AI20" s="113">
        <f t="shared" si="7"/>
        <v>2019</v>
      </c>
      <c r="AJ20" s="249">
        <v>0</v>
      </c>
      <c r="AK20" s="249">
        <f t="shared" ca="1" si="6"/>
        <v>-111.35088590276337</v>
      </c>
      <c r="AL20" s="249">
        <f t="shared" ca="1" si="6"/>
        <v>182.55471254302211</v>
      </c>
      <c r="AM20" s="249">
        <f t="shared" ca="1" si="6"/>
        <v>48.832277806222976</v>
      </c>
      <c r="AN20" s="249">
        <f t="shared" ca="1" si="6"/>
        <v>80.184125733472143</v>
      </c>
      <c r="AO20" s="249">
        <f t="shared" ca="1" si="6"/>
        <v>-123.05610668157183</v>
      </c>
      <c r="AP20" s="249">
        <f t="shared" ca="1" si="6"/>
        <v>203.82069426302161</v>
      </c>
      <c r="AQ20" s="249">
        <f t="shared" ca="1" si="6"/>
        <v>39.498243944281484</v>
      </c>
      <c r="AR20" s="251">
        <f t="shared" si="8"/>
        <v>52</v>
      </c>
      <c r="AT20" s="107"/>
      <c r="AU20" s="77"/>
    </row>
    <row r="21" spans="2:47" x14ac:dyDescent="0.35">
      <c r="AG21" s="187"/>
      <c r="AI21" s="113">
        <f t="shared" si="7"/>
        <v>2020</v>
      </c>
      <c r="AJ21" s="249">
        <v>0</v>
      </c>
      <c r="AK21" s="249">
        <f t="shared" ca="1" si="6"/>
        <v>-499.10370135264066</v>
      </c>
      <c r="AL21" s="249">
        <f t="shared" ca="1" si="6"/>
        <v>288.57865250030363</v>
      </c>
      <c r="AM21" s="249">
        <f t="shared" ca="1" si="6"/>
        <v>28.968761360568408</v>
      </c>
      <c r="AN21" s="249">
        <f t="shared" ca="1" si="6"/>
        <v>24.282940431652023</v>
      </c>
      <c r="AO21" s="249">
        <f t="shared" ca="1" si="6"/>
        <v>-57.888626993230758</v>
      </c>
      <c r="AP21" s="249">
        <f t="shared" ca="1" si="6"/>
        <v>341.25954565303186</v>
      </c>
      <c r="AQ21" s="249">
        <f t="shared" ca="1" si="6"/>
        <v>50.976482524792971</v>
      </c>
      <c r="AR21" s="251">
        <f t="shared" si="8"/>
        <v>53</v>
      </c>
      <c r="AT21" s="107"/>
      <c r="AU21" s="77"/>
    </row>
    <row r="22" spans="2:47" x14ac:dyDescent="0.35">
      <c r="AG22" s="187"/>
      <c r="AI22" s="113">
        <f t="shared" si="7"/>
        <v>2021</v>
      </c>
      <c r="AJ22" s="249">
        <v>0</v>
      </c>
      <c r="AK22" s="249">
        <f t="shared" ca="1" si="6"/>
        <v>-578.27943196700289</v>
      </c>
      <c r="AL22" s="249">
        <f t="shared" ca="1" si="6"/>
        <v>259.09560472341718</v>
      </c>
      <c r="AM22" s="249">
        <f t="shared" ca="1" si="6"/>
        <v>15.759541778013784</v>
      </c>
      <c r="AN22" s="249">
        <f t="shared" ca="1" si="6"/>
        <v>52.316333861813121</v>
      </c>
      <c r="AO22" s="249">
        <f t="shared" ca="1" si="6"/>
        <v>-69.738674124301554</v>
      </c>
      <c r="AP22" s="249">
        <f t="shared" ca="1" si="6"/>
        <v>521.0918601066096</v>
      </c>
      <c r="AQ22" s="249">
        <f t="shared" ca="1" si="6"/>
        <v>67.187603635943674</v>
      </c>
      <c r="AR22" s="251">
        <f t="shared" si="8"/>
        <v>54</v>
      </c>
      <c r="AT22" s="107"/>
      <c r="AU22" s="77"/>
    </row>
    <row r="23" spans="2:47" x14ac:dyDescent="0.35">
      <c r="AG23" s="187"/>
      <c r="AI23" s="113">
        <f t="shared" si="7"/>
        <v>2022</v>
      </c>
      <c r="AJ23" s="249">
        <v>0</v>
      </c>
      <c r="AK23" s="249">
        <f t="shared" ca="1" si="6"/>
        <v>-645.02849868053477</v>
      </c>
      <c r="AL23" s="249">
        <f t="shared" ca="1" si="6"/>
        <v>320.56885884587382</v>
      </c>
      <c r="AM23" s="249">
        <f t="shared" ca="1" si="6"/>
        <v>113.78860360374853</v>
      </c>
      <c r="AN23" s="249">
        <f t="shared" ca="1" si="6"/>
        <v>76.250298234775357</v>
      </c>
      <c r="AO23" s="249">
        <f t="shared" ca="1" si="6"/>
        <v>-34.230030855558681</v>
      </c>
      <c r="AP23" s="249">
        <f t="shared" ca="1" si="6"/>
        <v>789.79453212627539</v>
      </c>
      <c r="AQ23" s="249">
        <f t="shared" ca="1" si="6"/>
        <v>193.66478198801497</v>
      </c>
      <c r="AR23" s="251">
        <f t="shared" si="8"/>
        <v>55</v>
      </c>
      <c r="AT23" s="107"/>
      <c r="AU23" s="77"/>
    </row>
    <row r="24" spans="2:47" x14ac:dyDescent="0.35">
      <c r="AG24" s="187"/>
      <c r="AI24" s="113">
        <f t="shared" si="7"/>
        <v>2023</v>
      </c>
      <c r="AJ24" s="249">
        <v>0</v>
      </c>
      <c r="AK24" s="249">
        <f t="shared" ca="1" si="6"/>
        <v>-692.32405743142976</v>
      </c>
      <c r="AL24" s="249">
        <f t="shared" ca="1" si="6"/>
        <v>383.21641571232931</v>
      </c>
      <c r="AM24" s="249">
        <f t="shared" ca="1" si="6"/>
        <v>106.91150899115297</v>
      </c>
      <c r="AN24" s="249">
        <f t="shared" ca="1" si="6"/>
        <v>99.635934634507748</v>
      </c>
      <c r="AO24" s="249">
        <f t="shared" ca="1" si="6"/>
        <v>4.4567262463092447</v>
      </c>
      <c r="AP24" s="249">
        <f t="shared" ca="1" si="6"/>
        <v>1052.8564467179822</v>
      </c>
      <c r="AQ24" s="249">
        <f t="shared" ca="1" si="6"/>
        <v>215.24076862277241</v>
      </c>
      <c r="AR24" s="251">
        <f t="shared" si="8"/>
        <v>56</v>
      </c>
      <c r="AT24" s="107"/>
      <c r="AU24" s="77"/>
    </row>
    <row r="25" spans="2:47" x14ac:dyDescent="0.35">
      <c r="AG25" s="187"/>
      <c r="AI25" s="113">
        <f t="shared" si="7"/>
        <v>2024</v>
      </c>
      <c r="AJ25" s="249">
        <v>0</v>
      </c>
      <c r="AK25" s="249">
        <f t="shared" ca="1" si="6"/>
        <v>-721.98690161327477</v>
      </c>
      <c r="AL25" s="249">
        <f t="shared" ca="1" si="6"/>
        <v>428.07585733325868</v>
      </c>
      <c r="AM25" s="249">
        <f t="shared" ca="1" si="6"/>
        <v>99.154939638227972</v>
      </c>
      <c r="AN25" s="249">
        <f t="shared" ca="1" si="6"/>
        <v>120.3620544481771</v>
      </c>
      <c r="AO25" s="249">
        <f t="shared" ca="1" si="6"/>
        <v>33.529894197421129</v>
      </c>
      <c r="AP25" s="249">
        <f t="shared" ca="1" si="6"/>
        <v>1292.3434670023325</v>
      </c>
      <c r="AQ25" s="249">
        <f t="shared" ca="1" si="6"/>
        <v>228.30448102890034</v>
      </c>
      <c r="AR25" s="251">
        <f t="shared" si="8"/>
        <v>57</v>
      </c>
      <c r="AT25" s="107"/>
      <c r="AU25" s="77"/>
    </row>
    <row r="26" spans="2:47" x14ac:dyDescent="0.35">
      <c r="AG26" s="187"/>
      <c r="AI26" s="113">
        <f t="shared" si="7"/>
        <v>2025</v>
      </c>
      <c r="AJ26" s="249">
        <v>0</v>
      </c>
      <c r="AK26" s="249">
        <f t="shared" ref="AK26:AQ31" ca="1" si="9">INDIRECT(AK$2&amp;"!Q"&amp;$AR26)</f>
        <v>-743.36350392478153</v>
      </c>
      <c r="AL26" s="249">
        <f t="shared" ca="1" si="9"/>
        <v>548.16757924957119</v>
      </c>
      <c r="AM26" s="249">
        <f t="shared" ca="1" si="9"/>
        <v>91.862472687261345</v>
      </c>
      <c r="AN26" s="249">
        <f t="shared" ca="1" si="9"/>
        <v>136.3678141471969</v>
      </c>
      <c r="AO26" s="249">
        <f t="shared" ca="1" si="9"/>
        <v>65.432644119790098</v>
      </c>
      <c r="AP26" s="249">
        <f t="shared" ca="1" si="9"/>
        <v>1591.2225108979108</v>
      </c>
      <c r="AQ26" s="249">
        <f t="shared" ca="1" si="9"/>
        <v>237.14790678365841</v>
      </c>
      <c r="AR26" s="251">
        <f t="shared" si="8"/>
        <v>58</v>
      </c>
      <c r="AT26" s="107"/>
      <c r="AU26" s="77"/>
    </row>
    <row r="27" spans="2:47" x14ac:dyDescent="0.35">
      <c r="AG27" s="187"/>
      <c r="AI27" s="113">
        <f t="shared" si="7"/>
        <v>2026</v>
      </c>
      <c r="AJ27" s="249">
        <v>0</v>
      </c>
      <c r="AK27" s="249">
        <f t="shared" ca="1" si="9"/>
        <v>-791.46030917354233</v>
      </c>
      <c r="AL27" s="249">
        <f t="shared" ca="1" si="9"/>
        <v>623.66426930826492</v>
      </c>
      <c r="AM27" s="249">
        <f t="shared" ca="1" si="9"/>
        <v>83.682373917256484</v>
      </c>
      <c r="AN27" s="249">
        <f t="shared" ca="1" si="9"/>
        <v>156.10875766015806</v>
      </c>
      <c r="AO27" s="249">
        <f t="shared" ca="1" si="9"/>
        <v>101.60877385480046</v>
      </c>
      <c r="AP27" s="249">
        <f t="shared" ca="1" si="9"/>
        <v>1850.1753613998067</v>
      </c>
      <c r="AQ27" s="249">
        <f t="shared" ca="1" si="9"/>
        <v>254.38459639021119</v>
      </c>
      <c r="AR27" s="251">
        <f t="shared" si="8"/>
        <v>59</v>
      </c>
      <c r="AT27" s="107"/>
      <c r="AU27" s="77"/>
    </row>
    <row r="28" spans="2:47" x14ac:dyDescent="0.35">
      <c r="AG28" s="187"/>
      <c r="AI28" s="113">
        <f t="shared" si="7"/>
        <v>2027</v>
      </c>
      <c r="AJ28" s="249">
        <v>0</v>
      </c>
      <c r="AK28" s="249">
        <f t="shared" ca="1" si="9"/>
        <v>-831.77817896637066</v>
      </c>
      <c r="AL28" s="249">
        <f t="shared" ca="1" si="9"/>
        <v>674.67778706846229</v>
      </c>
      <c r="AM28" s="249">
        <f t="shared" ca="1" si="9"/>
        <v>78.238094551876259</v>
      </c>
      <c r="AN28" s="249">
        <f t="shared" ca="1" si="9"/>
        <v>173.19121149115472</v>
      </c>
      <c r="AO28" s="249">
        <f t="shared" ca="1" si="9"/>
        <v>136.81626090690969</v>
      </c>
      <c r="AP28" s="249">
        <f t="shared" ca="1" si="9"/>
        <v>2084.2918385665625</v>
      </c>
      <c r="AQ28" s="249">
        <f t="shared" ca="1" si="9"/>
        <v>267.68900089888859</v>
      </c>
      <c r="AR28" s="251">
        <f t="shared" si="8"/>
        <v>60</v>
      </c>
      <c r="AT28" s="107"/>
      <c r="AU28" s="77"/>
    </row>
    <row r="29" spans="2:47" x14ac:dyDescent="0.35">
      <c r="AG29" s="187"/>
      <c r="AI29" s="113">
        <f t="shared" si="7"/>
        <v>2028</v>
      </c>
      <c r="AJ29" s="249">
        <v>0</v>
      </c>
      <c r="AK29" s="249">
        <f t="shared" ca="1" si="9"/>
        <v>-924.7076730945264</v>
      </c>
      <c r="AL29" s="249">
        <f t="shared" ca="1" si="9"/>
        <v>737.61886113540777</v>
      </c>
      <c r="AM29" s="249">
        <f t="shared" ca="1" si="9"/>
        <v>63.954135778290095</v>
      </c>
      <c r="AN29" s="249">
        <f t="shared" ca="1" si="9"/>
        <v>178.33279232156815</v>
      </c>
      <c r="AO29" s="249">
        <f t="shared" ca="1" si="9"/>
        <v>162.79714281323072</v>
      </c>
      <c r="AP29" s="249">
        <f t="shared" ca="1" si="9"/>
        <v>2324.1004704175011</v>
      </c>
      <c r="AQ29" s="249">
        <f t="shared" ca="1" si="9"/>
        <v>269.17826829386524</v>
      </c>
      <c r="AR29" s="251">
        <f t="shared" si="8"/>
        <v>61</v>
      </c>
      <c r="AT29" s="107"/>
      <c r="AU29" s="77"/>
    </row>
    <row r="30" spans="2:47" x14ac:dyDescent="0.35">
      <c r="AG30" s="187"/>
      <c r="AI30" s="113">
        <f t="shared" si="7"/>
        <v>2029</v>
      </c>
      <c r="AJ30" s="249">
        <v>0</v>
      </c>
      <c r="AK30" s="249">
        <f t="shared" ca="1" si="9"/>
        <v>-1055.4950986584486</v>
      </c>
      <c r="AL30" s="249">
        <f t="shared" ca="1" si="9"/>
        <v>750.04536674921337</v>
      </c>
      <c r="AM30" s="249">
        <f t="shared" ca="1" si="9"/>
        <v>59.773090468466819</v>
      </c>
      <c r="AN30" s="249">
        <f t="shared" ca="1" si="9"/>
        <v>184.51009650876381</v>
      </c>
      <c r="AO30" s="249">
        <f t="shared" ca="1" si="9"/>
        <v>159.15403584202818</v>
      </c>
      <c r="AP30" s="249">
        <f t="shared" ca="1" si="9"/>
        <v>2514.2473202404681</v>
      </c>
      <c r="AQ30" s="249">
        <f t="shared" ca="1" si="9"/>
        <v>268.44891873250469</v>
      </c>
      <c r="AR30" s="251">
        <f t="shared" si="8"/>
        <v>62</v>
      </c>
      <c r="AT30" s="107"/>
      <c r="AU30" s="77"/>
    </row>
    <row r="31" spans="2:47" x14ac:dyDescent="0.35">
      <c r="AG31" s="187"/>
      <c r="AI31" s="113">
        <v>2030</v>
      </c>
      <c r="AJ31" s="249">
        <v>0</v>
      </c>
      <c r="AK31" s="249">
        <f t="shared" ca="1" si="9"/>
        <v>-1127.007342103389</v>
      </c>
      <c r="AL31" s="249">
        <f t="shared" ca="1" si="9"/>
        <v>724.21153179224484</v>
      </c>
      <c r="AM31" s="249">
        <f t="shared" ca="1" si="9"/>
        <v>47.077430048090321</v>
      </c>
      <c r="AN31" s="249">
        <f t="shared" ca="1" si="9"/>
        <v>181.98295562400506</v>
      </c>
      <c r="AO31" s="249">
        <f t="shared" ca="1" si="9"/>
        <v>130.22357481847507</v>
      </c>
      <c r="AP31" s="249">
        <f t="shared" ca="1" si="9"/>
        <v>2668.2931068534053</v>
      </c>
      <c r="AQ31" s="249">
        <f t="shared" ca="1" si="9"/>
        <v>256.21692781470438</v>
      </c>
      <c r="AR31" s="251">
        <f t="shared" si="8"/>
        <v>63</v>
      </c>
      <c r="AT31" s="107"/>
      <c r="AU31" s="77"/>
    </row>
    <row r="32" spans="2:47" x14ac:dyDescent="0.35">
      <c r="AG32" s="187"/>
      <c r="AI32" s="113"/>
      <c r="AJ32" s="249"/>
      <c r="AK32" s="249"/>
      <c r="AL32" s="249"/>
      <c r="AM32" s="249"/>
      <c r="AN32" s="249"/>
      <c r="AO32" s="249"/>
      <c r="AP32" s="249"/>
      <c r="AQ32" s="249"/>
    </row>
    <row r="33" spans="2:46" ht="17.25" customHeight="1" x14ac:dyDescent="0.35">
      <c r="AG33" s="187"/>
      <c r="AI33" s="113">
        <v>2015</v>
      </c>
      <c r="AK33" s="77"/>
    </row>
    <row r="34" spans="2:46" x14ac:dyDescent="0.35">
      <c r="AG34" s="187"/>
      <c r="AI34" s="113">
        <v>2020</v>
      </c>
    </row>
    <row r="35" spans="2:46" x14ac:dyDescent="0.35">
      <c r="AG35" s="187"/>
      <c r="AI35" s="113">
        <v>2030</v>
      </c>
    </row>
    <row r="36" spans="2:46" x14ac:dyDescent="0.35">
      <c r="B36" s="244" t="s">
        <v>417</v>
      </c>
      <c r="AG36" s="187"/>
    </row>
    <row r="37" spans="2:46" x14ac:dyDescent="0.35">
      <c r="AG37" s="187"/>
    </row>
    <row r="38" spans="2:46" x14ac:dyDescent="0.35">
      <c r="AG38" s="187"/>
    </row>
    <row r="39" spans="2:46" x14ac:dyDescent="0.35">
      <c r="AG39" s="187"/>
      <c r="AK39" s="195"/>
      <c r="AL39" s="195"/>
      <c r="AM39" s="195"/>
    </row>
    <row r="40" spans="2:46" x14ac:dyDescent="0.35">
      <c r="AG40" s="187"/>
    </row>
    <row r="41" spans="2:46" x14ac:dyDescent="0.35">
      <c r="AG41" s="187"/>
      <c r="AI41" s="319" t="s">
        <v>489</v>
      </c>
      <c r="AJ41" s="249">
        <f>NPV($AI$43,AJ17:AJ31)+AJ16</f>
        <v>0</v>
      </c>
      <c r="AK41" s="249">
        <f t="shared" ref="AK41:AQ41" ca="1" si="10">NPV($AI$43,AK17:AK31)+AK16</f>
        <v>-8611.1641295093814</v>
      </c>
      <c r="AL41" s="249">
        <f t="shared" ca="1" si="10"/>
        <v>5383.555450372126</v>
      </c>
      <c r="AM41" s="249">
        <f t="shared" ca="1" si="10"/>
        <v>840.08988254455687</v>
      </c>
      <c r="AN41" s="249">
        <f t="shared" ca="1" si="10"/>
        <v>1432.7416964633935</v>
      </c>
      <c r="AO41" s="249">
        <f t="shared" ca="1" si="10"/>
        <v>388.51350370466946</v>
      </c>
      <c r="AP41" s="249">
        <f t="shared" ca="1" si="10"/>
        <v>15111.799070774126</v>
      </c>
      <c r="AQ41" s="249">
        <f t="shared" ca="1" si="10"/>
        <v>2157.2546710858301</v>
      </c>
      <c r="AT41" s="363"/>
    </row>
    <row r="42" spans="2:46" x14ac:dyDescent="0.35">
      <c r="AG42" s="187"/>
      <c r="AI42" s="319"/>
      <c r="AJ42" s="249"/>
      <c r="AK42" s="249"/>
      <c r="AL42" s="249"/>
      <c r="AM42" s="249"/>
      <c r="AN42" s="249"/>
      <c r="AO42" s="249"/>
      <c r="AP42" s="249"/>
      <c r="AQ42" s="249"/>
    </row>
    <row r="43" spans="2:46" x14ac:dyDescent="0.35">
      <c r="AG43" s="187"/>
      <c r="AI43" s="253">
        <v>1.3599999999999999E-2</v>
      </c>
      <c r="AJ43" t="s">
        <v>488</v>
      </c>
      <c r="AK43" s="245"/>
      <c r="AL43" s="245"/>
      <c r="AM43" s="245"/>
      <c r="AN43" s="253"/>
      <c r="AO43" s="253"/>
      <c r="AP43" s="77"/>
      <c r="AQ43" s="77"/>
    </row>
    <row r="44" spans="2:46" x14ac:dyDescent="0.35">
      <c r="AG44" s="187"/>
      <c r="AI44" s="319"/>
      <c r="AK44" s="245"/>
      <c r="AL44" s="245"/>
      <c r="AM44" s="245"/>
    </row>
    <row r="45" spans="2:46" x14ac:dyDescent="0.35">
      <c r="AG45" s="187"/>
      <c r="AI45" s="113"/>
      <c r="AK45" s="245"/>
      <c r="AL45" s="245"/>
      <c r="AM45" s="245"/>
    </row>
    <row r="46" spans="2:46" x14ac:dyDescent="0.35">
      <c r="AG46" s="187"/>
    </row>
    <row r="47" spans="2:46" x14ac:dyDescent="0.35">
      <c r="AG47" s="187"/>
    </row>
    <row r="48" spans="2:46" x14ac:dyDescent="0.35">
      <c r="AG48" s="187"/>
      <c r="AI48" s="246" t="s">
        <v>520</v>
      </c>
    </row>
    <row r="49" spans="33:44" x14ac:dyDescent="0.35">
      <c r="AG49" s="187"/>
      <c r="AI49" s="113">
        <v>2015</v>
      </c>
      <c r="AJ49" s="113" t="s">
        <v>337</v>
      </c>
      <c r="AK49" s="113" t="s">
        <v>338</v>
      </c>
      <c r="AL49" s="113" t="s">
        <v>339</v>
      </c>
      <c r="AM49" s="113" t="s">
        <v>340</v>
      </c>
      <c r="AN49" s="113" t="s">
        <v>341</v>
      </c>
      <c r="AO49" s="113" t="s">
        <v>342</v>
      </c>
      <c r="AP49" s="113" t="s">
        <v>343</v>
      </c>
      <c r="AQ49" s="113" t="s">
        <v>344</v>
      </c>
      <c r="AR49" s="113" t="s">
        <v>521</v>
      </c>
    </row>
    <row r="50" spans="33:44" x14ac:dyDescent="0.35">
      <c r="AG50" s="187"/>
      <c r="AI50" t="s">
        <v>518</v>
      </c>
      <c r="AJ50" s="327">
        <f t="shared" ref="AJ50:AQ50" ca="1" si="11">SUM(INDIRECT(AJ$2&amp;"!C8:E8"))</f>
        <v>141.94137254070085</v>
      </c>
      <c r="AK50" s="327">
        <f t="shared" ca="1" si="11"/>
        <v>141.94137254070085</v>
      </c>
      <c r="AL50" s="327">
        <f t="shared" ca="1" si="11"/>
        <v>141.94137254070085</v>
      </c>
      <c r="AM50" s="327">
        <f t="shared" ca="1" si="11"/>
        <v>141.94137254070085</v>
      </c>
      <c r="AN50" s="327">
        <f t="shared" ca="1" si="11"/>
        <v>141.94137254070085</v>
      </c>
      <c r="AO50" s="327">
        <f t="shared" ca="1" si="11"/>
        <v>141.94137254070085</v>
      </c>
      <c r="AP50" s="327">
        <f t="shared" ca="1" si="11"/>
        <v>141.9413516274119</v>
      </c>
      <c r="AQ50" s="327">
        <f t="shared" ca="1" si="11"/>
        <v>141.94137254070085</v>
      </c>
    </row>
    <row r="51" spans="33:44" x14ac:dyDescent="0.35">
      <c r="AG51" s="187"/>
      <c r="AI51" t="s">
        <v>519</v>
      </c>
      <c r="AJ51" s="327">
        <f ca="1">INDIRECT(AJ$2&amp;"!K8")</f>
        <v>14.10284</v>
      </c>
      <c r="AK51" s="327">
        <f t="shared" ref="AK51:AQ51" ca="1" si="12">INDIRECT(AK$2&amp;"!K8")</f>
        <v>14.10284</v>
      </c>
      <c r="AL51" s="327">
        <f t="shared" ca="1" si="12"/>
        <v>14.10284</v>
      </c>
      <c r="AM51" s="327">
        <f t="shared" ca="1" si="12"/>
        <v>14.10284</v>
      </c>
      <c r="AN51" s="327">
        <f t="shared" ca="1" si="12"/>
        <v>14.10284</v>
      </c>
      <c r="AO51" s="327">
        <f t="shared" ca="1" si="12"/>
        <v>14.10284</v>
      </c>
      <c r="AP51" s="327">
        <f t="shared" ca="1" si="12"/>
        <v>14.10284</v>
      </c>
      <c r="AQ51" s="327">
        <f t="shared" ca="1" si="12"/>
        <v>14.10284</v>
      </c>
    </row>
    <row r="52" spans="33:44" x14ac:dyDescent="0.35">
      <c r="AG52" s="187"/>
      <c r="AI52" t="s">
        <v>1</v>
      </c>
      <c r="AJ52" s="327">
        <f ca="1">SUM(AJ50:AJ51)</f>
        <v>156.04421254070087</v>
      </c>
      <c r="AK52" s="327">
        <f t="shared" ref="AK52:AQ52" ca="1" si="13">SUM(AK50:AK51)</f>
        <v>156.04421254070087</v>
      </c>
      <c r="AL52" s="327">
        <f t="shared" ca="1" si="13"/>
        <v>156.04421254070087</v>
      </c>
      <c r="AM52" s="327">
        <f t="shared" ca="1" si="13"/>
        <v>156.04421254070087</v>
      </c>
      <c r="AN52" s="327">
        <f t="shared" ca="1" si="13"/>
        <v>156.04421254070087</v>
      </c>
      <c r="AO52" s="327">
        <f t="shared" ca="1" si="13"/>
        <v>156.04421254070087</v>
      </c>
      <c r="AP52" s="327">
        <f t="shared" ca="1" si="13"/>
        <v>156.04419162741192</v>
      </c>
      <c r="AQ52" s="327">
        <f t="shared" ca="1" si="13"/>
        <v>156.04421254070087</v>
      </c>
    </row>
    <row r="53" spans="33:44" x14ac:dyDescent="0.35">
      <c r="AG53" s="187"/>
      <c r="AI53" t="s">
        <v>518</v>
      </c>
      <c r="AJ53" s="247">
        <f t="shared" ref="AJ53:AQ53" ca="1" si="14">AJ50/SUM(AJ50:AJ51)</f>
        <v>0.90962279362766119</v>
      </c>
      <c r="AK53" s="247">
        <f t="shared" ca="1" si="14"/>
        <v>0.90962279362766119</v>
      </c>
      <c r="AL53" s="247">
        <f t="shared" ca="1" si="14"/>
        <v>0.90962279362766119</v>
      </c>
      <c r="AM53" s="247">
        <f t="shared" ca="1" si="14"/>
        <v>0.90962279362766119</v>
      </c>
      <c r="AN53" s="247">
        <f t="shared" ca="1" si="14"/>
        <v>0.90962279362766119</v>
      </c>
      <c r="AO53" s="247">
        <f t="shared" ca="1" si="14"/>
        <v>0.90962279362766119</v>
      </c>
      <c r="AP53" s="247">
        <f t="shared" ca="1" si="14"/>
        <v>0.90962278151516529</v>
      </c>
      <c r="AQ53" s="247">
        <f t="shared" ca="1" si="14"/>
        <v>0.90962279362766119</v>
      </c>
      <c r="AR53" s="328">
        <f ca="1">AVERAGE(AJ53:AQ53)</f>
        <v>0.9096227921135992</v>
      </c>
    </row>
    <row r="54" spans="33:44" x14ac:dyDescent="0.35">
      <c r="AG54" s="187"/>
      <c r="AI54" t="s">
        <v>519</v>
      </c>
      <c r="AJ54" s="247">
        <f t="shared" ref="AJ54:AQ54" ca="1" si="15">AJ51/SUM(AJ50:AJ51)</f>
        <v>9.0377206372338675E-2</v>
      </c>
      <c r="AK54" s="247">
        <f t="shared" ca="1" si="15"/>
        <v>9.0377206372338675E-2</v>
      </c>
      <c r="AL54" s="247">
        <f t="shared" ca="1" si="15"/>
        <v>9.0377206372338675E-2</v>
      </c>
      <c r="AM54" s="247">
        <f t="shared" ca="1" si="15"/>
        <v>9.0377206372338675E-2</v>
      </c>
      <c r="AN54" s="247">
        <f t="shared" ca="1" si="15"/>
        <v>9.0377206372338675E-2</v>
      </c>
      <c r="AO54" s="247">
        <f t="shared" ca="1" si="15"/>
        <v>9.0377206372338675E-2</v>
      </c>
      <c r="AP54" s="247">
        <f t="shared" ca="1" si="15"/>
        <v>9.0377218484834571E-2</v>
      </c>
      <c r="AQ54" s="247">
        <f t="shared" ca="1" si="15"/>
        <v>9.0377206372338675E-2</v>
      </c>
      <c r="AR54" s="328">
        <f ca="1">AVERAGE(AJ54:AQ54)</f>
        <v>9.0377207886400676E-2</v>
      </c>
    </row>
    <row r="55" spans="33:44" x14ac:dyDescent="0.35">
      <c r="AG55" s="187"/>
      <c r="AI55" t="s">
        <v>522</v>
      </c>
      <c r="AK55" s="245">
        <f t="shared" ref="AK55:AQ55" ca="1" si="16">AK52/$AJ52-1</f>
        <v>0</v>
      </c>
      <c r="AL55" s="245">
        <f t="shared" ca="1" si="16"/>
        <v>0</v>
      </c>
      <c r="AM55" s="245">
        <f t="shared" ca="1" si="16"/>
        <v>0</v>
      </c>
      <c r="AN55" s="245">
        <f t="shared" ca="1" si="16"/>
        <v>0</v>
      </c>
      <c r="AO55" s="245">
        <f t="shared" ca="1" si="16"/>
        <v>0</v>
      </c>
      <c r="AP55" s="245">
        <f t="shared" ca="1" si="16"/>
        <v>-1.340215609602069E-7</v>
      </c>
      <c r="AQ55" s="245">
        <f t="shared" ca="1" si="16"/>
        <v>0</v>
      </c>
    </row>
    <row r="56" spans="33:44" x14ac:dyDescent="0.35">
      <c r="AG56" s="187"/>
      <c r="AJ56" s="113"/>
      <c r="AK56" s="113"/>
      <c r="AL56" s="113"/>
      <c r="AM56" s="113"/>
      <c r="AN56" s="113"/>
      <c r="AO56" s="113"/>
      <c r="AP56" s="113"/>
      <c r="AQ56" s="113"/>
    </row>
    <row r="57" spans="33:44" x14ac:dyDescent="0.35">
      <c r="AG57" s="187"/>
      <c r="AI57" s="113">
        <v>2020</v>
      </c>
      <c r="AJ57" s="113" t="s">
        <v>337</v>
      </c>
      <c r="AK57" s="113" t="s">
        <v>338</v>
      </c>
      <c r="AL57" s="113" t="s">
        <v>339</v>
      </c>
      <c r="AM57" s="113" t="s">
        <v>340</v>
      </c>
      <c r="AN57" s="113" t="s">
        <v>341</v>
      </c>
      <c r="AO57" s="113" t="s">
        <v>342</v>
      </c>
      <c r="AP57" s="113" t="s">
        <v>343</v>
      </c>
      <c r="AQ57" s="113" t="s">
        <v>344</v>
      </c>
    </row>
    <row r="58" spans="33:44" x14ac:dyDescent="0.35">
      <c r="AG58" s="187"/>
      <c r="AI58" t="s">
        <v>518</v>
      </c>
      <c r="AJ58" s="327">
        <f t="shared" ref="AJ58:AQ58" ca="1" si="17">SUM(INDIRECT(AJ$2&amp;"!C13:E13"))</f>
        <v>142.33927446820192</v>
      </c>
      <c r="AK58" s="327">
        <f t="shared" ca="1" si="17"/>
        <v>142.33927446820192</v>
      </c>
      <c r="AL58" s="327">
        <f t="shared" ca="1" si="17"/>
        <v>142.33927446820192</v>
      </c>
      <c r="AM58" s="327">
        <f t="shared" ca="1" si="17"/>
        <v>142.33927446820192</v>
      </c>
      <c r="AN58" s="327">
        <f t="shared" ca="1" si="17"/>
        <v>137.73814379032225</v>
      </c>
      <c r="AO58" s="327">
        <f t="shared" ca="1" si="17"/>
        <v>137.73814379032225</v>
      </c>
      <c r="AP58" s="327">
        <f t="shared" ca="1" si="17"/>
        <v>137.73812287703331</v>
      </c>
      <c r="AQ58" s="327">
        <f t="shared" ca="1" si="17"/>
        <v>137.73814379032225</v>
      </c>
    </row>
    <row r="59" spans="33:44" x14ac:dyDescent="0.35">
      <c r="AG59" s="187"/>
      <c r="AI59" t="s">
        <v>519</v>
      </c>
      <c r="AJ59" s="327">
        <f ca="1">INDIRECT(AJ$2&amp;"!K13")</f>
        <v>53.835350000000005</v>
      </c>
      <c r="AK59" s="327">
        <f t="shared" ref="AK59:AQ59" ca="1" si="18">INDIRECT(AK$2&amp;"!K13")</f>
        <v>53.835350000000005</v>
      </c>
      <c r="AL59" s="327">
        <f t="shared" ca="1" si="18"/>
        <v>52.320040000000006</v>
      </c>
      <c r="AM59" s="327">
        <f t="shared" ca="1" si="18"/>
        <v>53.381320000000002</v>
      </c>
      <c r="AN59" s="327">
        <f t="shared" ca="1" si="18"/>
        <v>53.366185666666667</v>
      </c>
      <c r="AO59" s="327">
        <f t="shared" ca="1" si="18"/>
        <v>53.381320000000002</v>
      </c>
      <c r="AP59" s="327">
        <f t="shared" ca="1" si="18"/>
        <v>51.729801000000002</v>
      </c>
      <c r="AQ59" s="327">
        <f t="shared" ca="1" si="18"/>
        <v>49.82453499999999</v>
      </c>
    </row>
    <row r="60" spans="33:44" x14ac:dyDescent="0.35">
      <c r="AG60" s="187"/>
      <c r="AI60" t="s">
        <v>1</v>
      </c>
      <c r="AJ60" s="327">
        <f ca="1">SUM(AJ58:AJ59)</f>
        <v>196.17462446820193</v>
      </c>
      <c r="AK60" s="327">
        <f t="shared" ref="AK60" ca="1" si="19">SUM(AK58:AK59)</f>
        <v>196.17462446820193</v>
      </c>
      <c r="AL60" s="327">
        <f t="shared" ref="AL60" ca="1" si="20">SUM(AL58:AL59)</f>
        <v>194.65931446820193</v>
      </c>
      <c r="AM60" s="327">
        <f t="shared" ref="AM60" ca="1" si="21">SUM(AM58:AM59)</f>
        <v>195.72059446820191</v>
      </c>
      <c r="AN60" s="327">
        <f t="shared" ref="AN60" ca="1" si="22">SUM(AN58:AN59)</f>
        <v>191.10432945698892</v>
      </c>
      <c r="AO60" s="327">
        <f t="shared" ref="AO60" ca="1" si="23">SUM(AO58:AO59)</f>
        <v>191.11946379032224</v>
      </c>
      <c r="AP60" s="327">
        <f t="shared" ref="AP60" ca="1" si="24">SUM(AP58:AP59)</f>
        <v>189.46792387703331</v>
      </c>
      <c r="AQ60" s="327">
        <f t="shared" ref="AQ60" ca="1" si="25">SUM(AQ58:AQ59)</f>
        <v>187.56267879032225</v>
      </c>
    </row>
    <row r="61" spans="33:44" x14ac:dyDescent="0.35">
      <c r="AG61" s="187"/>
      <c r="AI61" t="s">
        <v>518</v>
      </c>
      <c r="AJ61" s="247">
        <f t="shared" ref="AJ61:AQ61" ca="1" si="26">AJ58/SUM(AJ58:AJ59)</f>
        <v>0.72557434405219823</v>
      </c>
      <c r="AK61" s="247">
        <f t="shared" ca="1" si="26"/>
        <v>0.72557434405219823</v>
      </c>
      <c r="AL61" s="247">
        <f t="shared" ca="1" si="26"/>
        <v>0.73122252000663135</v>
      </c>
      <c r="AM61" s="247">
        <f t="shared" ca="1" si="26"/>
        <v>0.72725752164689716</v>
      </c>
      <c r="AN61" s="247">
        <f t="shared" ca="1" si="26"/>
        <v>0.72074842146013451</v>
      </c>
      <c r="AO61" s="247">
        <f t="shared" ca="1" si="26"/>
        <v>0.72069134696524262</v>
      </c>
      <c r="AP61" s="247">
        <f t="shared" ca="1" si="26"/>
        <v>0.72697330534126081</v>
      </c>
      <c r="AQ61" s="247">
        <f t="shared" ca="1" si="26"/>
        <v>0.73435794732011039</v>
      </c>
      <c r="AR61" s="328">
        <f ca="1">AVERAGE(AJ61:AQ61)</f>
        <v>0.72654996885558421</v>
      </c>
    </row>
    <row r="62" spans="33:44" x14ac:dyDescent="0.35">
      <c r="AG62" s="187"/>
      <c r="AI62" t="s">
        <v>519</v>
      </c>
      <c r="AJ62" s="247">
        <f t="shared" ref="AJ62:AQ62" ca="1" si="27">AJ59/SUM(AJ58:AJ59)</f>
        <v>0.27442565594780183</v>
      </c>
      <c r="AK62" s="247">
        <f t="shared" ca="1" si="27"/>
        <v>0.27442565594780183</v>
      </c>
      <c r="AL62" s="247">
        <f t="shared" ca="1" si="27"/>
        <v>0.26877747999336871</v>
      </c>
      <c r="AM62" s="247">
        <f t="shared" ca="1" si="27"/>
        <v>0.27274247835310295</v>
      </c>
      <c r="AN62" s="247">
        <f t="shared" ca="1" si="27"/>
        <v>0.27925157853986549</v>
      </c>
      <c r="AO62" s="247">
        <f t="shared" ca="1" si="27"/>
        <v>0.27930865303475744</v>
      </c>
      <c r="AP62" s="247">
        <f t="shared" ca="1" si="27"/>
        <v>0.27302669465873913</v>
      </c>
      <c r="AQ62" s="247">
        <f t="shared" ca="1" si="27"/>
        <v>0.26564205267988955</v>
      </c>
      <c r="AR62" s="328">
        <f ca="1">AVERAGE(AJ62:AQ62)</f>
        <v>0.27345003114441591</v>
      </c>
    </row>
    <row r="63" spans="33:44" x14ac:dyDescent="0.35">
      <c r="AG63" s="187"/>
      <c r="AI63" t="s">
        <v>522</v>
      </c>
      <c r="AK63" s="245">
        <f t="shared" ref="AK63:AQ63" ca="1" si="28">AK60/$AJ60-1</f>
        <v>0</v>
      </c>
      <c r="AL63" s="245">
        <f t="shared" ca="1" si="28"/>
        <v>-7.7242915800540546E-3</v>
      </c>
      <c r="AM63" s="245">
        <f t="shared" ca="1" si="28"/>
        <v>-2.3144175819417301E-3</v>
      </c>
      <c r="AN63" s="245">
        <f t="shared" ca="1" si="28"/>
        <v>-2.5845824988617982E-2</v>
      </c>
      <c r="AO63" s="245">
        <f t="shared" ca="1" si="28"/>
        <v>-2.5768677735886647E-2</v>
      </c>
      <c r="AP63" s="245">
        <f t="shared" ca="1" si="28"/>
        <v>-3.4187401195997724E-2</v>
      </c>
      <c r="AQ63" s="245">
        <f t="shared" ca="1" si="28"/>
        <v>-4.3899386585932176E-2</v>
      </c>
    </row>
    <row r="64" spans="33:44" x14ac:dyDescent="0.35">
      <c r="AG64" s="187"/>
    </row>
    <row r="65" spans="33:44" x14ac:dyDescent="0.35">
      <c r="AG65" s="187"/>
      <c r="AI65" s="113">
        <v>2030</v>
      </c>
      <c r="AJ65" s="113" t="s">
        <v>337</v>
      </c>
      <c r="AK65" s="113" t="s">
        <v>338</v>
      </c>
      <c r="AL65" s="113" t="s">
        <v>339</v>
      </c>
      <c r="AM65" s="113" t="s">
        <v>340</v>
      </c>
      <c r="AN65" s="113" t="s">
        <v>341</v>
      </c>
      <c r="AO65" s="113" t="s">
        <v>342</v>
      </c>
      <c r="AP65" s="113" t="s">
        <v>343</v>
      </c>
      <c r="AQ65" s="113" t="s">
        <v>344</v>
      </c>
    </row>
    <row r="66" spans="33:44" x14ac:dyDescent="0.35">
      <c r="AG66" s="187"/>
      <c r="AI66" t="s">
        <v>518</v>
      </c>
      <c r="AJ66" s="327">
        <f t="shared" ref="AJ66:AQ66" ca="1" si="29">SUM(INDIRECT(AJ$2&amp;"!C23:E23"))</f>
        <v>138.68456008281441</v>
      </c>
      <c r="AK66" s="327">
        <f t="shared" ca="1" si="29"/>
        <v>138.68456008281441</v>
      </c>
      <c r="AL66" s="327">
        <f t="shared" ca="1" si="29"/>
        <v>138.68456008281441</v>
      </c>
      <c r="AM66" s="327">
        <f t="shared" ca="1" si="29"/>
        <v>138.68456008281441</v>
      </c>
      <c r="AN66" s="327">
        <f t="shared" ca="1" si="29"/>
        <v>124.91967602030323</v>
      </c>
      <c r="AO66" s="327">
        <f t="shared" ca="1" si="29"/>
        <v>124.91967602030323</v>
      </c>
      <c r="AP66" s="327">
        <f t="shared" ca="1" si="29"/>
        <v>123.0470398229288</v>
      </c>
      <c r="AQ66" s="327">
        <f t="shared" ca="1" si="29"/>
        <v>124.91967602030323</v>
      </c>
    </row>
    <row r="67" spans="33:44" x14ac:dyDescent="0.35">
      <c r="AG67" s="187"/>
      <c r="AI67" t="s">
        <v>519</v>
      </c>
      <c r="AJ67" s="327">
        <f ca="1">INDIRECT(AJ$2&amp;"!K23")</f>
        <v>60.978319999999989</v>
      </c>
      <c r="AK67" s="327">
        <f t="shared" ref="AK67:AQ67" ca="1" si="30">INDIRECT(AK$2&amp;"!K23")</f>
        <v>60.978319999999989</v>
      </c>
      <c r="AL67" s="327">
        <f t="shared" ca="1" si="30"/>
        <v>57.198320000000002</v>
      </c>
      <c r="AM67" s="327">
        <f t="shared" ca="1" si="30"/>
        <v>52.017229999999998</v>
      </c>
      <c r="AN67" s="327">
        <f t="shared" ca="1" si="30"/>
        <v>46.043170000000003</v>
      </c>
      <c r="AO67" s="327">
        <f t="shared" ca="1" si="30"/>
        <v>49.000177910447768</v>
      </c>
      <c r="AP67" s="327">
        <f t="shared" ca="1" si="30"/>
        <v>38.571108571428567</v>
      </c>
      <c r="AQ67" s="327">
        <f t="shared" ca="1" si="30"/>
        <v>46.473246666666661</v>
      </c>
    </row>
    <row r="68" spans="33:44" x14ac:dyDescent="0.35">
      <c r="AG68" s="187"/>
      <c r="AI68" t="s">
        <v>1</v>
      </c>
      <c r="AJ68" s="327">
        <f ca="1">SUM(AJ66:AJ67)</f>
        <v>199.66288008281441</v>
      </c>
      <c r="AK68" s="327">
        <f t="shared" ref="AK68" ca="1" si="31">SUM(AK66:AK67)</f>
        <v>199.66288008281441</v>
      </c>
      <c r="AL68" s="327">
        <f t="shared" ref="AL68" ca="1" si="32">SUM(AL66:AL67)</f>
        <v>195.88288008281441</v>
      </c>
      <c r="AM68" s="327">
        <f t="shared" ref="AM68" ca="1" si="33">SUM(AM66:AM67)</f>
        <v>190.7017900828144</v>
      </c>
      <c r="AN68" s="327">
        <f t="shared" ref="AN68" ca="1" si="34">SUM(AN66:AN67)</f>
        <v>170.96284602030323</v>
      </c>
      <c r="AO68" s="327">
        <f t="shared" ref="AO68" ca="1" si="35">SUM(AO66:AO67)</f>
        <v>173.919853930751</v>
      </c>
      <c r="AP68" s="327">
        <f t="shared" ref="AP68" ca="1" si="36">SUM(AP66:AP67)</f>
        <v>161.61814839435738</v>
      </c>
      <c r="AQ68" s="327">
        <f t="shared" ref="AQ68" ca="1" si="37">SUM(AQ66:AQ67)</f>
        <v>171.39292268696988</v>
      </c>
    </row>
    <row r="69" spans="33:44" x14ac:dyDescent="0.35">
      <c r="AG69" s="187"/>
      <c r="AI69" t="s">
        <v>518</v>
      </c>
      <c r="AJ69" s="247">
        <f t="shared" ref="AJ69:AQ69" ca="1" si="38">AJ66/SUM(AJ66:AJ67)</f>
        <v>0.69459360711060592</v>
      </c>
      <c r="AK69" s="247">
        <f t="shared" ca="1" si="38"/>
        <v>0.69459360711060592</v>
      </c>
      <c r="AL69" s="247">
        <f t="shared" ca="1" si="38"/>
        <v>0.70799735037682743</v>
      </c>
      <c r="AM69" s="247">
        <f t="shared" ca="1" si="38"/>
        <v>0.72723260763618991</v>
      </c>
      <c r="AN69" s="247">
        <f t="shared" ca="1" si="38"/>
        <v>0.73068318016575362</v>
      </c>
      <c r="AO69" s="247">
        <f t="shared" ca="1" si="38"/>
        <v>0.71826000998162065</v>
      </c>
      <c r="AP69" s="247">
        <f t="shared" ca="1" si="38"/>
        <v>0.76134419955540567</v>
      </c>
      <c r="AQ69" s="247">
        <f t="shared" ca="1" si="38"/>
        <v>0.72884967513189047</v>
      </c>
      <c r="AR69" s="328">
        <f ca="1">AVERAGE(AJ69:AQ69)</f>
        <v>0.72044427963361235</v>
      </c>
    </row>
    <row r="70" spans="33:44" x14ac:dyDescent="0.35">
      <c r="AG70" s="187"/>
      <c r="AI70" t="s">
        <v>519</v>
      </c>
      <c r="AJ70" s="247">
        <f t="shared" ref="AJ70:AQ70" ca="1" si="39">AJ67/SUM(AJ66:AJ67)</f>
        <v>0.30540639288939408</v>
      </c>
      <c r="AK70" s="247">
        <f t="shared" ca="1" si="39"/>
        <v>0.30540639288939408</v>
      </c>
      <c r="AL70" s="247">
        <f t="shared" ca="1" si="39"/>
        <v>0.29200264962317268</v>
      </c>
      <c r="AM70" s="247">
        <f t="shared" ca="1" si="39"/>
        <v>0.27276739236381015</v>
      </c>
      <c r="AN70" s="247">
        <f t="shared" ca="1" si="39"/>
        <v>0.26931681983424632</v>
      </c>
      <c r="AO70" s="247">
        <f t="shared" ca="1" si="39"/>
        <v>0.28173999001837929</v>
      </c>
      <c r="AP70" s="247">
        <f t="shared" ca="1" si="39"/>
        <v>0.2386558004445942</v>
      </c>
      <c r="AQ70" s="247">
        <f t="shared" ca="1" si="39"/>
        <v>0.27115032486810953</v>
      </c>
      <c r="AR70" s="328">
        <f ca="1">AVERAGE(AJ70:AQ70)</f>
        <v>0.27955572036638754</v>
      </c>
    </row>
    <row r="71" spans="33:44" x14ac:dyDescent="0.35">
      <c r="AG71" s="187"/>
      <c r="AI71" t="s">
        <v>522</v>
      </c>
      <c r="AK71" s="245">
        <f t="shared" ref="AK71:AQ71" ca="1" si="40">AK68/$AJ68-1</f>
        <v>0</v>
      </c>
      <c r="AL71" s="245">
        <f t="shared" ca="1" si="40"/>
        <v>-1.8931911622391495E-2</v>
      </c>
      <c r="AM71" s="245">
        <f t="shared" ca="1" si="40"/>
        <v>-4.4881101566216053E-2</v>
      </c>
      <c r="AN71" s="245">
        <f t="shared" ca="1" si="40"/>
        <v>-0.1437424625479069</v>
      </c>
      <c r="AO71" s="245">
        <f t="shared" ca="1" si="40"/>
        <v>-0.12893245926025876</v>
      </c>
      <c r="AP71" s="245">
        <f t="shared" ca="1" si="40"/>
        <v>-0.19054484074694888</v>
      </c>
      <c r="AQ71" s="245">
        <f t="shared" ca="1" si="40"/>
        <v>-0.14158844840923346</v>
      </c>
    </row>
    <row r="72" spans="33:44" x14ac:dyDescent="0.35">
      <c r="AG72" s="187"/>
    </row>
    <row r="73" spans="33:44" x14ac:dyDescent="0.35">
      <c r="AG73" s="187"/>
    </row>
    <row r="74" spans="33:44" x14ac:dyDescent="0.35">
      <c r="AG74" s="187"/>
    </row>
    <row r="75" spans="33:44" x14ac:dyDescent="0.35">
      <c r="AG75" s="187"/>
    </row>
    <row r="76" spans="33:44" x14ac:dyDescent="0.35">
      <c r="AG76" s="187"/>
    </row>
    <row r="77" spans="33:44" x14ac:dyDescent="0.35">
      <c r="AG77" s="187"/>
    </row>
    <row r="78" spans="33:44" x14ac:dyDescent="0.35">
      <c r="AG78" s="187"/>
    </row>
    <row r="79" spans="33:44" x14ac:dyDescent="0.35">
      <c r="AG79" s="187"/>
    </row>
    <row r="80" spans="33:44" x14ac:dyDescent="0.35">
      <c r="AG80" s="187"/>
    </row>
    <row r="81" spans="33:33" x14ac:dyDescent="0.35">
      <c r="AG81" s="187"/>
    </row>
    <row r="82" spans="33:33" x14ac:dyDescent="0.35">
      <c r="AG82" s="187"/>
    </row>
    <row r="83" spans="33:33" x14ac:dyDescent="0.35">
      <c r="AG83" s="187"/>
    </row>
    <row r="84" spans="33:33" x14ac:dyDescent="0.35">
      <c r="AG84" s="187"/>
    </row>
    <row r="85" spans="33:33" x14ac:dyDescent="0.35">
      <c r="AG85" s="187"/>
    </row>
    <row r="86" spans="33:33" x14ac:dyDescent="0.35">
      <c r="AG86" s="187"/>
    </row>
    <row r="87" spans="33:33" x14ac:dyDescent="0.35">
      <c r="AG87" s="187"/>
    </row>
    <row r="88" spans="33:33" x14ac:dyDescent="0.35">
      <c r="AG88" s="187"/>
    </row>
    <row r="89" spans="33:33" x14ac:dyDescent="0.35">
      <c r="AG89" s="187"/>
    </row>
    <row r="90" spans="33:33" x14ac:dyDescent="0.35">
      <c r="AG90" s="187"/>
    </row>
    <row r="91" spans="33:33" x14ac:dyDescent="0.35">
      <c r="AG91" s="187"/>
    </row>
    <row r="92" spans="33:33" x14ac:dyDescent="0.35">
      <c r="AG92" s="187"/>
    </row>
    <row r="93" spans="33:33" x14ac:dyDescent="0.35">
      <c r="AG93" s="187"/>
    </row>
    <row r="94" spans="33:33" x14ac:dyDescent="0.35">
      <c r="AG94" s="187"/>
    </row>
    <row r="95" spans="33:33" x14ac:dyDescent="0.35">
      <c r="AG95" s="187"/>
    </row>
    <row r="96" spans="33:33" x14ac:dyDescent="0.35">
      <c r="AG96" s="187"/>
    </row>
    <row r="97" spans="6:33" x14ac:dyDescent="0.35">
      <c r="AG97" s="187"/>
    </row>
    <row r="98" spans="6:33" x14ac:dyDescent="0.35">
      <c r="AG98" s="187"/>
    </row>
    <row r="99" spans="6:33" x14ac:dyDescent="0.35">
      <c r="AG99" s="187"/>
    </row>
    <row r="100" spans="6:33" x14ac:dyDescent="0.35">
      <c r="AG100" s="187"/>
    </row>
    <row r="101" spans="6:33" x14ac:dyDescent="0.35">
      <c r="AG101" s="187"/>
    </row>
    <row r="102" spans="6:33" x14ac:dyDescent="0.35">
      <c r="AG102" s="187"/>
    </row>
    <row r="103" spans="6:33" x14ac:dyDescent="0.35">
      <c r="AG103" s="187"/>
    </row>
    <row r="104" spans="6:33" x14ac:dyDescent="0.35">
      <c r="AG104" s="187"/>
    </row>
    <row r="105" spans="6:33" x14ac:dyDescent="0.35">
      <c r="AG105" s="187"/>
    </row>
    <row r="106" spans="6:33" x14ac:dyDescent="0.35">
      <c r="AG106" s="187"/>
    </row>
    <row r="107" spans="6:33" x14ac:dyDescent="0.35">
      <c r="AG107" s="187"/>
    </row>
    <row r="108" spans="6:33" x14ac:dyDescent="0.35">
      <c r="AG108" s="187"/>
    </row>
    <row r="109" spans="6:33" x14ac:dyDescent="0.35">
      <c r="AG109" s="187"/>
    </row>
    <row r="110" spans="6:33" x14ac:dyDescent="0.35">
      <c r="AG110" s="187"/>
    </row>
    <row r="111" spans="6:33" x14ac:dyDescent="0.35">
      <c r="F111" s="244" t="s">
        <v>562</v>
      </c>
      <c r="AG111" s="187"/>
    </row>
    <row r="112" spans="6:33" x14ac:dyDescent="0.35">
      <c r="AG112" s="187"/>
    </row>
    <row r="113" spans="2:52" x14ac:dyDescent="0.35">
      <c r="AG113" s="187"/>
    </row>
    <row r="114" spans="2:52" x14ac:dyDescent="0.35">
      <c r="AG114" s="187"/>
    </row>
    <row r="115" spans="2:52" x14ac:dyDescent="0.35">
      <c r="AG115" s="187"/>
    </row>
    <row r="116" spans="2:52" ht="24.75" x14ac:dyDescent="0.5">
      <c r="B116" s="198" t="s">
        <v>416</v>
      </c>
      <c r="AG116" s="187"/>
      <c r="AI116" s="246" t="s">
        <v>490</v>
      </c>
    </row>
    <row r="117" spans="2:52" x14ac:dyDescent="0.35">
      <c r="AG117" s="187"/>
      <c r="AJ117" t="str">
        <f t="shared" ref="AJ117:AQ117" si="41">AJ15</f>
        <v>Scen 1</v>
      </c>
      <c r="AK117" t="str">
        <f t="shared" si="41"/>
        <v>Scen 2</v>
      </c>
      <c r="AL117" t="str">
        <f t="shared" si="41"/>
        <v>Scen 3</v>
      </c>
      <c r="AM117" t="str">
        <f t="shared" si="41"/>
        <v>Scen 4</v>
      </c>
      <c r="AN117" t="str">
        <f t="shared" si="41"/>
        <v>Scen 5</v>
      </c>
      <c r="AO117" t="str">
        <f t="shared" si="41"/>
        <v>Scen 6</v>
      </c>
      <c r="AP117" t="str">
        <f t="shared" si="41"/>
        <v>Scen 7</v>
      </c>
      <c r="AQ117" t="str">
        <f t="shared" si="41"/>
        <v>Scen 8</v>
      </c>
    </row>
    <row r="118" spans="2:52" x14ac:dyDescent="0.35">
      <c r="B118" s="244" t="s">
        <v>414</v>
      </c>
      <c r="AG118" s="187"/>
      <c r="AI118" t="s">
        <v>504</v>
      </c>
      <c r="AJ118" s="158">
        <f>RefTables!$F$230</f>
        <v>35.936917656730202</v>
      </c>
      <c r="AK118" s="107">
        <f t="shared" ref="AK118:AQ119" si="42">$AJ118</f>
        <v>35.936917656730202</v>
      </c>
      <c r="AL118" s="107">
        <f t="shared" si="42"/>
        <v>35.936917656730202</v>
      </c>
      <c r="AM118" s="107">
        <f t="shared" si="42"/>
        <v>35.936917656730202</v>
      </c>
      <c r="AN118" s="107">
        <f t="shared" si="42"/>
        <v>35.936917656730202</v>
      </c>
      <c r="AO118" s="107">
        <f t="shared" si="42"/>
        <v>35.936917656730202</v>
      </c>
      <c r="AP118" s="107">
        <f t="shared" si="42"/>
        <v>35.936917656730202</v>
      </c>
      <c r="AQ118" s="107">
        <f t="shared" si="42"/>
        <v>35.936917656730202</v>
      </c>
    </row>
    <row r="119" spans="2:52" x14ac:dyDescent="0.35">
      <c r="AG119" s="187"/>
      <c r="AI119" t="s">
        <v>505</v>
      </c>
      <c r="AJ119" s="158">
        <f>RefTables!$G$230</f>
        <v>38.247696456769603</v>
      </c>
      <c r="AK119" s="107">
        <f t="shared" si="42"/>
        <v>38.247696456769603</v>
      </c>
      <c r="AL119" s="107">
        <f t="shared" si="42"/>
        <v>38.247696456769603</v>
      </c>
      <c r="AM119" s="107">
        <f t="shared" si="42"/>
        <v>38.247696456769603</v>
      </c>
      <c r="AN119" s="107">
        <f t="shared" si="42"/>
        <v>38.247696456769603</v>
      </c>
      <c r="AO119" s="107">
        <f t="shared" si="42"/>
        <v>38.247696456769603</v>
      </c>
      <c r="AP119" s="107">
        <f t="shared" si="42"/>
        <v>38.247696456769603</v>
      </c>
      <c r="AQ119" s="107">
        <f t="shared" si="42"/>
        <v>38.247696456769603</v>
      </c>
    </row>
    <row r="120" spans="2:52" x14ac:dyDescent="0.35">
      <c r="AG120" s="187"/>
      <c r="AI120" t="s">
        <v>502</v>
      </c>
      <c r="AJ120" s="107">
        <f>S1_BaseRefNGNoHydro!$Q$34</f>
        <v>23.326496260794567</v>
      </c>
      <c r="AK120" s="107">
        <f>S1_BaseRefNGNoHydro!$Q$34</f>
        <v>23.326496260794567</v>
      </c>
      <c r="AL120" s="107">
        <f>S1_BaseRefNGNoHydro!$Q$34</f>
        <v>23.326496260794567</v>
      </c>
      <c r="AM120" s="107">
        <f>S1_BaseRefNGNoHydro!$Q$34</f>
        <v>23.326496260794567</v>
      </c>
      <c r="AN120" s="107">
        <f>S1_BaseRefNGNoHydro!$Q$34</f>
        <v>23.326496260794567</v>
      </c>
      <c r="AO120" s="107">
        <f>S1_BaseRefNGNoHydro!$Q$34</f>
        <v>23.326496260794567</v>
      </c>
      <c r="AP120" s="107">
        <f>S1_BaseRefNGNoHydro!$Q$34</f>
        <v>23.326496260794567</v>
      </c>
      <c r="AQ120" s="107">
        <f>S1_BaseRefNGNoHydro!$Q$34</f>
        <v>23.326496260794567</v>
      </c>
    </row>
    <row r="121" spans="2:52" x14ac:dyDescent="0.35">
      <c r="AG121" s="187"/>
      <c r="AI121" t="s">
        <v>503</v>
      </c>
      <c r="AJ121" s="107">
        <f>S1_BaseRefNGNoHydro!$Q$44</f>
        <v>18.676721162166132</v>
      </c>
      <c r="AK121" s="107">
        <f>S1_BaseRefNGNoHydro!$Q$44</f>
        <v>18.676721162166132</v>
      </c>
      <c r="AL121" s="107">
        <f>S1_BaseRefNGNoHydro!$Q$44</f>
        <v>18.676721162166132</v>
      </c>
      <c r="AM121" s="107">
        <f>S1_BaseRefNGNoHydro!$Q$44</f>
        <v>18.676721162166132</v>
      </c>
      <c r="AN121" s="107">
        <f>S1_BaseRefNGNoHydro!$Q$44</f>
        <v>18.676721162166132</v>
      </c>
      <c r="AO121" s="107">
        <f>S1_BaseRefNGNoHydro!$Q$44</f>
        <v>18.676721162166132</v>
      </c>
      <c r="AP121" s="107">
        <f>S1_BaseRefNGNoHydro!$Q$44</f>
        <v>18.676721162166132</v>
      </c>
      <c r="AQ121" s="107">
        <f>S1_BaseRefNGNoHydro!$Q$44</f>
        <v>18.676721162166132</v>
      </c>
    </row>
    <row r="122" spans="2:52" x14ac:dyDescent="0.35">
      <c r="AG122" s="187"/>
      <c r="AI122" s="113">
        <v>2020</v>
      </c>
      <c r="AJ122" s="107">
        <f ca="1">INDIRECT(AJ$2&amp;"!P34")</f>
        <v>29.479301897657706</v>
      </c>
      <c r="AK122" s="107">
        <f t="shared" ref="AK122:AQ122" ca="1" si="43">INDIRECT(AK$2&amp;"!P34")</f>
        <v>29.465092527361307</v>
      </c>
      <c r="AL122" s="107">
        <f t="shared" ca="1" si="43"/>
        <v>29.418172064684974</v>
      </c>
      <c r="AM122" s="107">
        <f t="shared" ca="1" si="43"/>
        <v>27.068804555636255</v>
      </c>
      <c r="AN122" s="107">
        <f t="shared" ca="1" si="43"/>
        <v>27.330828832012479</v>
      </c>
      <c r="AO122" s="107">
        <f t="shared" ca="1" si="43"/>
        <v>27.412867694638454</v>
      </c>
      <c r="AP122" s="107">
        <f t="shared" ca="1" si="43"/>
        <v>26.668487697088374</v>
      </c>
      <c r="AQ122" s="107">
        <f t="shared" ca="1" si="43"/>
        <v>24.961516642509338</v>
      </c>
      <c r="AS122" s="108">
        <f ca="1">AJ122-AJ120</f>
        <v>6.152805636863139</v>
      </c>
      <c r="AT122" s="108">
        <f t="shared" ref="AT122:AY122" ca="1" si="44">AK122-AK120</f>
        <v>6.13859626656674</v>
      </c>
      <c r="AU122" s="108">
        <f t="shared" ca="1" si="44"/>
        <v>6.0916758038904071</v>
      </c>
      <c r="AV122" s="108">
        <f t="shared" ca="1" si="44"/>
        <v>3.7423082948416884</v>
      </c>
      <c r="AW122" s="108">
        <f t="shared" ca="1" si="44"/>
        <v>4.0043325712179119</v>
      </c>
      <c r="AX122" s="108">
        <f t="shared" ca="1" si="44"/>
        <v>4.0863714338438868</v>
      </c>
      <c r="AY122" s="108">
        <f t="shared" ca="1" si="44"/>
        <v>3.3419914362938066</v>
      </c>
      <c r="AZ122" s="189">
        <f ca="1">AQ122-AQ120</f>
        <v>1.6350203817147708</v>
      </c>
    </row>
    <row r="123" spans="2:52" x14ac:dyDescent="0.35">
      <c r="AG123" s="187"/>
      <c r="AI123" s="113">
        <v>2030</v>
      </c>
      <c r="AJ123" s="158">
        <f ca="1">INDIRECT(AJ$2&amp;"!P44")</f>
        <v>28.946403150433689</v>
      </c>
      <c r="AK123" s="158">
        <f t="shared" ref="AK123:AQ123" ca="1" si="45">INDIRECT(AK$2&amp;"!P44")</f>
        <v>28.821226538115837</v>
      </c>
      <c r="AL123" s="158">
        <f t="shared" ca="1" si="45"/>
        <v>28.815728606485674</v>
      </c>
      <c r="AM123" s="158">
        <f t="shared" ca="1" si="45"/>
        <v>24.974301648493562</v>
      </c>
      <c r="AN123" s="158">
        <f t="shared" ca="1" si="45"/>
        <v>19.033150813173375</v>
      </c>
      <c r="AO123" s="158">
        <f t="shared" ca="1" si="45"/>
        <v>19.163417467271408</v>
      </c>
      <c r="AP123" s="158">
        <f t="shared" ca="1" si="45"/>
        <v>10.655048789971854</v>
      </c>
      <c r="AQ123" s="158">
        <f t="shared" ca="1" si="45"/>
        <v>15.623256431578771</v>
      </c>
      <c r="AS123" s="108">
        <f ca="1">AJ123-AJ121</f>
        <v>10.269681988267557</v>
      </c>
      <c r="AT123" s="108">
        <f t="shared" ref="AT123:AZ123" ca="1" si="46">AK123-AK121</f>
        <v>10.144505375949706</v>
      </c>
      <c r="AU123" s="108">
        <f t="shared" ca="1" si="46"/>
        <v>10.139007444319542</v>
      </c>
      <c r="AV123" s="108">
        <f t="shared" ca="1" si="46"/>
        <v>6.2975804863274298</v>
      </c>
      <c r="AW123" s="108">
        <f t="shared" ca="1" si="46"/>
        <v>0.35642965100724311</v>
      </c>
      <c r="AX123" s="108">
        <f t="shared" ca="1" si="46"/>
        <v>0.48669630510527639</v>
      </c>
      <c r="AY123" s="108">
        <f t="shared" ca="1" si="46"/>
        <v>-8.0216723721942778</v>
      </c>
      <c r="AZ123" s="108">
        <f t="shared" ca="1" si="46"/>
        <v>-3.0534647305873612</v>
      </c>
    </row>
    <row r="124" spans="2:52" x14ac:dyDescent="0.35">
      <c r="AG124" s="187"/>
    </row>
    <row r="125" spans="2:52" x14ac:dyDescent="0.35">
      <c r="AG125" s="187"/>
      <c r="AI125" s="113">
        <v>2020</v>
      </c>
      <c r="AJ125" s="322">
        <f t="shared" ref="AJ125:AQ126" ca="1" si="47">AJ122/AJ120-1</f>
        <v>0.26376895904441144</v>
      </c>
      <c r="AK125" s="322">
        <f t="shared" ca="1" si="47"/>
        <v>0.2631598075397219</v>
      </c>
      <c r="AL125" s="322">
        <f t="shared" ca="1" si="47"/>
        <v>0.26114834117324515</v>
      </c>
      <c r="AM125" s="322">
        <f t="shared" ca="1" si="47"/>
        <v>0.16043165047172048</v>
      </c>
      <c r="AN125" s="322">
        <f t="shared" ca="1" si="47"/>
        <v>0.17166455375246792</v>
      </c>
      <c r="AO125" s="322">
        <f t="shared" ca="1" si="47"/>
        <v>0.17518153554470817</v>
      </c>
      <c r="AP125" s="322">
        <f t="shared" ca="1" si="47"/>
        <v>0.14327018506893285</v>
      </c>
      <c r="AQ125" s="322">
        <f t="shared" ca="1" si="47"/>
        <v>7.0092840494986319E-2</v>
      </c>
      <c r="AS125" s="364">
        <v>70.814556785034611</v>
      </c>
      <c r="AT125" t="s">
        <v>567</v>
      </c>
    </row>
    <row r="126" spans="2:52" x14ac:dyDescent="0.35">
      <c r="AG126" s="187"/>
      <c r="AI126" s="113">
        <v>2030</v>
      </c>
      <c r="AJ126" s="322">
        <f t="shared" ca="1" si="47"/>
        <v>0.54986535907978817</v>
      </c>
      <c r="AK126" s="322">
        <f t="shared" ca="1" si="47"/>
        <v>0.54316307920791074</v>
      </c>
      <c r="AL126" s="322">
        <f t="shared" ca="1" si="47"/>
        <v>0.54286870571577439</v>
      </c>
      <c r="AM126" s="322">
        <f t="shared" ca="1" si="47"/>
        <v>0.33718876196987857</v>
      </c>
      <c r="AN126" s="322">
        <f t="shared" ca="1" si="47"/>
        <v>1.9084166214853093E-2</v>
      </c>
      <c r="AO126" s="322">
        <f t="shared" ca="1" si="47"/>
        <v>2.6058980100382323E-2</v>
      </c>
      <c r="AP126" s="322">
        <f t="shared" ca="1" si="47"/>
        <v>-0.42950110474658509</v>
      </c>
      <c r="AQ126" s="322">
        <f t="shared" ca="1" si="47"/>
        <v>-0.16349040626964195</v>
      </c>
      <c r="AS126" s="364">
        <v>53.504331793137261</v>
      </c>
      <c r="AT126" t="s">
        <v>568</v>
      </c>
    </row>
    <row r="127" spans="2:52" x14ac:dyDescent="0.35">
      <c r="AG127" s="187"/>
      <c r="AJ127" s="247"/>
      <c r="AK127" s="247"/>
      <c r="AL127" s="247"/>
      <c r="AM127" s="247"/>
      <c r="AN127" s="247"/>
      <c r="AO127" s="247"/>
      <c r="AP127" s="247"/>
      <c r="AQ127" s="247"/>
    </row>
    <row r="128" spans="2:52" x14ac:dyDescent="0.35">
      <c r="AG128" s="187"/>
      <c r="AI128" s="246" t="s">
        <v>491</v>
      </c>
      <c r="AS128" s="77">
        <f ca="1">AS122/$AS$125</f>
        <v>8.6886170248027653E-2</v>
      </c>
      <c r="AT128" s="77">
        <f t="shared" ref="AT128:AZ128" ca="1" si="48">AT122/$AS$125</f>
        <v>8.6685514183208481E-2</v>
      </c>
      <c r="AU128" s="77">
        <f t="shared" ca="1" si="48"/>
        <v>8.6022932013573986E-2</v>
      </c>
      <c r="AV128" s="77">
        <f t="shared" ca="1" si="48"/>
        <v>5.284659630366504E-2</v>
      </c>
      <c r="AW128" s="77">
        <f t="shared" ca="1" si="48"/>
        <v>5.6546743395902405E-2</v>
      </c>
      <c r="AX128" s="77">
        <f t="shared" ca="1" si="48"/>
        <v>5.7705246200276554E-2</v>
      </c>
      <c r="AY128" s="77">
        <f t="shared" ca="1" si="48"/>
        <v>4.7193565673775091E-2</v>
      </c>
      <c r="AZ128" s="406">
        <f t="shared" ca="1" si="48"/>
        <v>2.3088761067559249E-2</v>
      </c>
    </row>
    <row r="129" spans="2:52" x14ac:dyDescent="0.35">
      <c r="AG129" s="187"/>
      <c r="AJ129" t="str">
        <f>AJ$117</f>
        <v>Scen 1</v>
      </c>
      <c r="AK129" t="str">
        <f t="shared" ref="AK129:AQ129" si="49">AK$117</f>
        <v>Scen 2</v>
      </c>
      <c r="AL129" t="str">
        <f t="shared" si="49"/>
        <v>Scen 3</v>
      </c>
      <c r="AM129" t="str">
        <f t="shared" si="49"/>
        <v>Scen 4</v>
      </c>
      <c r="AN129" t="str">
        <f t="shared" si="49"/>
        <v>Scen 5</v>
      </c>
      <c r="AO129" t="str">
        <f t="shared" si="49"/>
        <v>Scen 6</v>
      </c>
      <c r="AP129" t="str">
        <f t="shared" si="49"/>
        <v>Scen 7</v>
      </c>
      <c r="AQ129" t="str">
        <f t="shared" si="49"/>
        <v>Scen 8</v>
      </c>
      <c r="AS129" s="77">
        <f ca="1">AS123/$AS$126</f>
        <v>0.19194113156992643</v>
      </c>
      <c r="AT129" s="77">
        <f t="shared" ref="AT129:AZ129" ca="1" si="50">AT123/$AS$126</f>
        <v>0.18960157123672167</v>
      </c>
      <c r="AU129" s="77">
        <f t="shared" ca="1" si="50"/>
        <v>0.18949881447954131</v>
      </c>
      <c r="AV129" s="77">
        <f t="shared" ca="1" si="50"/>
        <v>0.11770225466370911</v>
      </c>
      <c r="AW129" s="77">
        <f t="shared" ca="1" si="50"/>
        <v>6.6616970824960493E-3</v>
      </c>
      <c r="AX129" s="77">
        <f t="shared" ca="1" si="50"/>
        <v>9.0963906807953552E-3</v>
      </c>
      <c r="AY129" s="77">
        <f t="shared" ca="1" si="50"/>
        <v>-0.14992566215401606</v>
      </c>
      <c r="AZ129" s="77">
        <f t="shared" ca="1" si="50"/>
        <v>-5.7069486306135203E-2</v>
      </c>
    </row>
    <row r="130" spans="2:52" x14ac:dyDescent="0.35">
      <c r="AG130" s="187"/>
      <c r="AI130" t="s">
        <v>504</v>
      </c>
      <c r="AJ130" s="158">
        <f>RefTables!$F$228</f>
        <v>12.324742901839176</v>
      </c>
      <c r="AK130" s="107">
        <f t="shared" ref="AK130:AQ133" si="51">$AJ130</f>
        <v>12.324742901839176</v>
      </c>
      <c r="AL130" s="107">
        <f t="shared" si="51"/>
        <v>12.324742901839176</v>
      </c>
      <c r="AM130" s="107">
        <f t="shared" si="51"/>
        <v>12.324742901839176</v>
      </c>
      <c r="AN130" s="107">
        <f t="shared" si="51"/>
        <v>12.324742901839176</v>
      </c>
      <c r="AO130" s="107">
        <f t="shared" si="51"/>
        <v>12.324742901839176</v>
      </c>
      <c r="AP130" s="107">
        <f t="shared" si="51"/>
        <v>12.324742901839176</v>
      </c>
      <c r="AQ130" s="107">
        <f t="shared" si="51"/>
        <v>12.324742901839176</v>
      </c>
    </row>
    <row r="131" spans="2:52" x14ac:dyDescent="0.35">
      <c r="AG131" s="187"/>
      <c r="AI131" t="s">
        <v>505</v>
      </c>
      <c r="AJ131" s="158">
        <f>RefTables!$G$228</f>
        <v>12.96003774720403</v>
      </c>
      <c r="AK131" s="107">
        <f t="shared" si="51"/>
        <v>12.96003774720403</v>
      </c>
      <c r="AL131" s="107">
        <f t="shared" si="51"/>
        <v>12.96003774720403</v>
      </c>
      <c r="AM131" s="107">
        <f t="shared" si="51"/>
        <v>12.96003774720403</v>
      </c>
      <c r="AN131" s="107">
        <f t="shared" si="51"/>
        <v>12.96003774720403</v>
      </c>
      <c r="AO131" s="107">
        <f t="shared" si="51"/>
        <v>12.96003774720403</v>
      </c>
      <c r="AP131" s="107">
        <f t="shared" si="51"/>
        <v>12.96003774720403</v>
      </c>
      <c r="AQ131" s="107">
        <f t="shared" si="51"/>
        <v>12.96003774720403</v>
      </c>
    </row>
    <row r="132" spans="2:52" x14ac:dyDescent="0.35">
      <c r="AG132" s="187"/>
      <c r="AI132" t="s">
        <v>502</v>
      </c>
      <c r="AJ132" s="107">
        <f>RefTables!$F$225</f>
        <v>9.5800444118697126</v>
      </c>
      <c r="AK132" s="107">
        <f t="shared" si="51"/>
        <v>9.5800444118697126</v>
      </c>
      <c r="AL132" s="107">
        <f t="shared" si="51"/>
        <v>9.5800444118697126</v>
      </c>
      <c r="AM132" s="107">
        <f t="shared" si="51"/>
        <v>9.5800444118697126</v>
      </c>
      <c r="AN132" s="107">
        <f t="shared" si="51"/>
        <v>9.5800444118697126</v>
      </c>
      <c r="AO132" s="107">
        <f t="shared" si="51"/>
        <v>9.5800444118697126</v>
      </c>
      <c r="AP132" s="107">
        <f>$AJ132</f>
        <v>9.5800444118697126</v>
      </c>
      <c r="AQ132" s="107">
        <f t="shared" si="51"/>
        <v>9.5800444118697126</v>
      </c>
    </row>
    <row r="133" spans="2:52" x14ac:dyDescent="0.35">
      <c r="AG133" s="187"/>
      <c r="AI133" t="s">
        <v>503</v>
      </c>
      <c r="AJ133" s="158">
        <f>RefTables!$G$225</f>
        <v>8.0173261660936195</v>
      </c>
      <c r="AK133" s="107">
        <f t="shared" si="51"/>
        <v>8.0173261660936195</v>
      </c>
      <c r="AL133" s="107">
        <f t="shared" si="51"/>
        <v>8.0173261660936195</v>
      </c>
      <c r="AM133" s="107">
        <f t="shared" si="51"/>
        <v>8.0173261660936195</v>
      </c>
      <c r="AN133" s="107">
        <f t="shared" si="51"/>
        <v>8.0173261660936195</v>
      </c>
      <c r="AO133" s="107">
        <f t="shared" si="51"/>
        <v>8.0173261660936195</v>
      </c>
      <c r="AP133" s="107">
        <f t="shared" si="51"/>
        <v>8.0173261660936195</v>
      </c>
      <c r="AQ133" s="107">
        <f t="shared" si="51"/>
        <v>8.0173261660936195</v>
      </c>
    </row>
    <row r="134" spans="2:52" x14ac:dyDescent="0.35">
      <c r="B134" s="244" t="s">
        <v>417</v>
      </c>
      <c r="AG134" s="187"/>
      <c r="AI134" s="113">
        <v>2020</v>
      </c>
      <c r="AJ134" s="107">
        <f ca="1">SUM(INDIRECT(AJ$2&amp;"!$K$34:$M$34"))</f>
        <v>12.242957452267243</v>
      </c>
      <c r="AK134" s="107">
        <f t="shared" ref="AK134:AQ134" ca="1" si="52">SUM(INDIRECT(AK$2&amp;"!$K$34:$M$34"))</f>
        <v>12.242957452267243</v>
      </c>
      <c r="AL134" s="107">
        <f t="shared" ca="1" si="52"/>
        <v>12.242957452267243</v>
      </c>
      <c r="AM134" s="107">
        <f t="shared" ca="1" si="52"/>
        <v>12.242957452267243</v>
      </c>
      <c r="AN134" s="107">
        <f t="shared" ca="1" si="52"/>
        <v>11.79773643449116</v>
      </c>
      <c r="AO134" s="107">
        <f t="shared" ca="1" si="52"/>
        <v>11.79773643449116</v>
      </c>
      <c r="AP134" s="107">
        <f t="shared" ca="1" si="52"/>
        <v>11.797653704840634</v>
      </c>
      <c r="AQ134" s="107">
        <f t="shared" ca="1" si="52"/>
        <v>11.79773643449116</v>
      </c>
    </row>
    <row r="135" spans="2:52" x14ac:dyDescent="0.35">
      <c r="AG135" s="187"/>
      <c r="AI135" s="113">
        <v>2030</v>
      </c>
      <c r="AJ135" s="107">
        <f ca="1">SUM(INDIRECT(AJ$2&amp;"!$K$44:$M$44"))</f>
        <v>11.972330093678231</v>
      </c>
      <c r="AK135" s="107">
        <f t="shared" ref="AK135:AQ135" ca="1" si="53">SUM(INDIRECT(AK$2&amp;"!$K$44:$M$44"))</f>
        <v>11.972330093678231</v>
      </c>
      <c r="AL135" s="107">
        <f t="shared" ca="1" si="53"/>
        <v>11.972330093678231</v>
      </c>
      <c r="AM135" s="107">
        <f t="shared" ca="1" si="53"/>
        <v>11.972330093678231</v>
      </c>
      <c r="AN135" s="107">
        <f t="shared" ca="1" si="53"/>
        <v>10.630330621633057</v>
      </c>
      <c r="AO135" s="107">
        <f t="shared" ca="1" si="53"/>
        <v>10.630330621633057</v>
      </c>
      <c r="AP135" s="107">
        <f t="shared" ca="1" si="53"/>
        <v>10.555624759765838</v>
      </c>
      <c r="AQ135" s="107">
        <f t="shared" ca="1" si="53"/>
        <v>10.630330621633057</v>
      </c>
    </row>
    <row r="136" spans="2:52" x14ac:dyDescent="0.35">
      <c r="AG136" s="187"/>
    </row>
    <row r="137" spans="2:52" x14ac:dyDescent="0.35">
      <c r="AG137" s="187"/>
      <c r="AI137" s="113">
        <v>2020</v>
      </c>
      <c r="AJ137" s="322">
        <f t="shared" ref="AJ137:AQ137" ca="1" si="54">AJ134/AJ132-1</f>
        <v>0.27796458199068175</v>
      </c>
      <c r="AK137" s="322">
        <f t="shared" ca="1" si="54"/>
        <v>0.27796458199068175</v>
      </c>
      <c r="AL137" s="322">
        <f t="shared" ca="1" si="54"/>
        <v>0.27796458199068175</v>
      </c>
      <c r="AM137" s="322">
        <f t="shared" ca="1" si="54"/>
        <v>0.27796458199068175</v>
      </c>
      <c r="AN137" s="322">
        <f t="shared" ca="1" si="54"/>
        <v>0.23149078723202132</v>
      </c>
      <c r="AO137" s="322">
        <f t="shared" ca="1" si="54"/>
        <v>0.23149078723202132</v>
      </c>
      <c r="AP137" s="322">
        <f t="shared" ca="1" si="54"/>
        <v>0.23148215160916119</v>
      </c>
      <c r="AQ137" s="322">
        <f t="shared" ca="1" si="54"/>
        <v>0.23149078723202132</v>
      </c>
    </row>
    <row r="138" spans="2:52" x14ac:dyDescent="0.35">
      <c r="AG138" s="187"/>
      <c r="AI138" s="113">
        <v>2030</v>
      </c>
      <c r="AJ138" s="322">
        <f t="shared" ref="AJ138:AQ138" ca="1" si="55">AJ135/AJ133-1</f>
        <v>0.49330710085250984</v>
      </c>
      <c r="AK138" s="322">
        <f t="shared" ca="1" si="55"/>
        <v>0.49330710085250984</v>
      </c>
      <c r="AL138" s="322">
        <f t="shared" ca="1" si="55"/>
        <v>0.49330710085250984</v>
      </c>
      <c r="AM138" s="322">
        <f t="shared" ca="1" si="55"/>
        <v>0.49330710085250984</v>
      </c>
      <c r="AN138" s="322">
        <f t="shared" ca="1" si="55"/>
        <v>0.32591968960801343</v>
      </c>
      <c r="AO138" s="322">
        <f t="shared" ca="1" si="55"/>
        <v>0.32591968960801343</v>
      </c>
      <c r="AP138" s="322">
        <f t="shared" ca="1" si="55"/>
        <v>0.31660163763912141</v>
      </c>
      <c r="AQ138" s="322">
        <f t="shared" ca="1" si="55"/>
        <v>0.32591968960801343</v>
      </c>
    </row>
    <row r="139" spans="2:52" x14ac:dyDescent="0.35">
      <c r="AG139" s="187"/>
    </row>
    <row r="140" spans="2:52" x14ac:dyDescent="0.35">
      <c r="AG140" s="187"/>
      <c r="AI140" s="352" t="s">
        <v>492</v>
      </c>
      <c r="AJ140" s="190"/>
      <c r="AK140" s="190"/>
      <c r="AL140" s="353"/>
      <c r="AM140" s="190"/>
      <c r="AN140" s="190"/>
      <c r="AO140" s="190"/>
      <c r="AP140" s="190"/>
      <c r="AQ140" s="190"/>
      <c r="AR140" s="352"/>
      <c r="AS140" s="190"/>
    </row>
    <row r="141" spans="2:52" x14ac:dyDescent="0.35">
      <c r="AG141" s="187"/>
      <c r="AI141" s="190"/>
      <c r="AJ141" s="190" t="str">
        <f>AJ$117</f>
        <v>Scen 1</v>
      </c>
      <c r="AK141" s="190" t="str">
        <f t="shared" ref="AK141:AQ141" si="56">AK$117</f>
        <v>Scen 2</v>
      </c>
      <c r="AL141" s="190" t="str">
        <f t="shared" si="56"/>
        <v>Scen 3</v>
      </c>
      <c r="AM141" s="190" t="str">
        <f t="shared" si="56"/>
        <v>Scen 4</v>
      </c>
      <c r="AN141" s="190" t="str">
        <f t="shared" si="56"/>
        <v>Scen 5</v>
      </c>
      <c r="AO141" s="190" t="str">
        <f t="shared" si="56"/>
        <v>Scen 6</v>
      </c>
      <c r="AP141" s="190" t="str">
        <f t="shared" si="56"/>
        <v>Scen 7</v>
      </c>
      <c r="AQ141" s="190" t="str">
        <f t="shared" si="56"/>
        <v>Scen 8</v>
      </c>
      <c r="AR141" s="190"/>
      <c r="AS141" s="190"/>
    </row>
    <row r="142" spans="2:52" x14ac:dyDescent="0.35">
      <c r="AG142" s="187"/>
      <c r="AI142" s="190" t="s">
        <v>504</v>
      </c>
      <c r="AJ142" s="354">
        <f>RefTables!$F$229</f>
        <v>23.612174754891029</v>
      </c>
      <c r="AK142" s="355">
        <f t="shared" ref="AK142:AQ145" si="57">$AJ142</f>
        <v>23.612174754891029</v>
      </c>
      <c r="AL142" s="355">
        <f t="shared" si="57"/>
        <v>23.612174754891029</v>
      </c>
      <c r="AM142" s="355">
        <f t="shared" si="57"/>
        <v>23.612174754891029</v>
      </c>
      <c r="AN142" s="355">
        <f t="shared" si="57"/>
        <v>23.612174754891029</v>
      </c>
      <c r="AO142" s="355">
        <f t="shared" si="57"/>
        <v>23.612174754891029</v>
      </c>
      <c r="AP142" s="355">
        <f t="shared" si="57"/>
        <v>23.612174754891029</v>
      </c>
      <c r="AQ142" s="355">
        <f t="shared" si="57"/>
        <v>23.612174754891029</v>
      </c>
      <c r="AR142" s="190"/>
      <c r="AS142" s="190"/>
    </row>
    <row r="143" spans="2:52" x14ac:dyDescent="0.35">
      <c r="AG143" s="187"/>
      <c r="AI143" s="190" t="s">
        <v>505</v>
      </c>
      <c r="AJ143" s="354">
        <f>RefTables!$G$229</f>
        <v>25.287658709565576</v>
      </c>
      <c r="AK143" s="355">
        <f t="shared" si="57"/>
        <v>25.287658709565576</v>
      </c>
      <c r="AL143" s="355">
        <f t="shared" si="57"/>
        <v>25.287658709565576</v>
      </c>
      <c r="AM143" s="355">
        <f t="shared" si="57"/>
        <v>25.287658709565576</v>
      </c>
      <c r="AN143" s="355">
        <f t="shared" si="57"/>
        <v>25.287658709565576</v>
      </c>
      <c r="AO143" s="355">
        <f t="shared" si="57"/>
        <v>25.287658709565576</v>
      </c>
      <c r="AP143" s="355">
        <f t="shared" si="57"/>
        <v>25.287658709565576</v>
      </c>
      <c r="AQ143" s="355">
        <f t="shared" si="57"/>
        <v>25.287658709565576</v>
      </c>
      <c r="AR143" s="190"/>
      <c r="AS143" s="190"/>
    </row>
    <row r="144" spans="2:52" x14ac:dyDescent="0.35">
      <c r="AG144" s="187"/>
      <c r="AI144" s="190" t="s">
        <v>502</v>
      </c>
      <c r="AJ144" s="355">
        <f>RefTables!$F$226</f>
        <v>13.746451848924854</v>
      </c>
      <c r="AK144" s="355">
        <f t="shared" si="57"/>
        <v>13.746451848924854</v>
      </c>
      <c r="AL144" s="355">
        <f t="shared" si="57"/>
        <v>13.746451848924854</v>
      </c>
      <c r="AM144" s="355">
        <f t="shared" si="57"/>
        <v>13.746451848924854</v>
      </c>
      <c r="AN144" s="355">
        <f t="shared" si="57"/>
        <v>13.746451848924854</v>
      </c>
      <c r="AO144" s="355">
        <f t="shared" si="57"/>
        <v>13.746451848924854</v>
      </c>
      <c r="AP144" s="355">
        <f t="shared" si="57"/>
        <v>13.746451848924854</v>
      </c>
      <c r="AQ144" s="355">
        <f t="shared" si="57"/>
        <v>13.746451848924854</v>
      </c>
      <c r="AR144" s="190"/>
      <c r="AS144" s="190"/>
    </row>
    <row r="145" spans="2:45" x14ac:dyDescent="0.35">
      <c r="AG145" s="187"/>
      <c r="AI145" s="190" t="s">
        <v>503</v>
      </c>
      <c r="AJ145" s="354">
        <f>RefTables!$G$226</f>
        <v>10.659394996072512</v>
      </c>
      <c r="AK145" s="355">
        <f t="shared" si="57"/>
        <v>10.659394996072512</v>
      </c>
      <c r="AL145" s="355">
        <f t="shared" si="57"/>
        <v>10.659394996072512</v>
      </c>
      <c r="AM145" s="355">
        <f t="shared" si="57"/>
        <v>10.659394996072512</v>
      </c>
      <c r="AN145" s="355">
        <f t="shared" si="57"/>
        <v>10.659394996072512</v>
      </c>
      <c r="AO145" s="355">
        <f t="shared" si="57"/>
        <v>10.659394996072512</v>
      </c>
      <c r="AP145" s="355">
        <f t="shared" si="57"/>
        <v>10.659394996072512</v>
      </c>
      <c r="AQ145" s="355">
        <f t="shared" si="57"/>
        <v>10.659394996072512</v>
      </c>
      <c r="AR145" s="190"/>
      <c r="AS145" s="190"/>
    </row>
    <row r="146" spans="2:45" x14ac:dyDescent="0.35">
      <c r="AG146" s="187"/>
      <c r="AI146" s="356">
        <v>2020</v>
      </c>
      <c r="AJ146" s="355">
        <f ca="1">SUM(INDIRECT(AJ$2&amp;"!$N$34:$O$34"))</f>
        <v>17.236344445390461</v>
      </c>
      <c r="AK146" s="355">
        <f t="shared" ref="AK146:AQ146" ca="1" si="58">SUM(INDIRECT(AK$2&amp;"!$N$34:$O$34"))</f>
        <v>17.222135075094062</v>
      </c>
      <c r="AL146" s="355">
        <f t="shared" ca="1" si="58"/>
        <v>17.175214612417729</v>
      </c>
      <c r="AM146" s="355">
        <f t="shared" ca="1" si="58"/>
        <v>14.825847103369014</v>
      </c>
      <c r="AN146" s="355">
        <f t="shared" ca="1" si="58"/>
        <v>15.533092397521321</v>
      </c>
      <c r="AO146" s="355">
        <f t="shared" ca="1" si="58"/>
        <v>15.615131260147294</v>
      </c>
      <c r="AP146" s="355">
        <f t="shared" ca="1" si="58"/>
        <v>14.870833992247739</v>
      </c>
      <c r="AQ146" s="355">
        <f t="shared" ca="1" si="58"/>
        <v>13.163780208018178</v>
      </c>
      <c r="AR146" s="190"/>
      <c r="AS146" s="190"/>
    </row>
    <row r="147" spans="2:45" x14ac:dyDescent="0.35">
      <c r="AG147" s="187"/>
      <c r="AI147" s="356">
        <v>2030</v>
      </c>
      <c r="AJ147" s="355">
        <f ca="1">SUM(INDIRECT(AJ$2&amp;"!$N$44:$O$44"))</f>
        <v>16.974073056755458</v>
      </c>
      <c r="AK147" s="355">
        <f t="shared" ref="AK147:AQ147" ca="1" si="59">SUM(INDIRECT(AK$2&amp;"!$N$44:$O$44"))</f>
        <v>16.848896444437607</v>
      </c>
      <c r="AL147" s="355">
        <f t="shared" ca="1" si="59"/>
        <v>16.843398512807443</v>
      </c>
      <c r="AM147" s="355">
        <f t="shared" ca="1" si="59"/>
        <v>13.001971554815331</v>
      </c>
      <c r="AN147" s="355">
        <f t="shared" ca="1" si="59"/>
        <v>8.402820191540318</v>
      </c>
      <c r="AO147" s="355">
        <f t="shared" ca="1" si="59"/>
        <v>8.5330868456383513</v>
      </c>
      <c r="AP147" s="355">
        <f t="shared" ca="1" si="59"/>
        <v>9.9424030206016312E-2</v>
      </c>
      <c r="AQ147" s="355">
        <f t="shared" ca="1" si="59"/>
        <v>4.9929258099457128</v>
      </c>
      <c r="AR147" s="190"/>
      <c r="AS147" s="190"/>
    </row>
    <row r="148" spans="2:45" x14ac:dyDescent="0.35">
      <c r="AG148" s="187"/>
    </row>
    <row r="149" spans="2:45" x14ac:dyDescent="0.35">
      <c r="AG149" s="187"/>
      <c r="AI149" s="113">
        <v>2020</v>
      </c>
      <c r="AJ149" s="322">
        <f t="shared" ref="AJ149:AQ149" ca="1" si="60">AJ146/AJ144-1</f>
        <v>0.25387588265102456</v>
      </c>
      <c r="AK149" s="322">
        <f t="shared" ca="1" si="60"/>
        <v>0.25284220716497474</v>
      </c>
      <c r="AL149" s="322">
        <f t="shared" ca="1" si="60"/>
        <v>0.2494289290920586</v>
      </c>
      <c r="AM149" s="322">
        <f t="shared" ca="1" si="60"/>
        <v>7.8521735376287927E-2</v>
      </c>
      <c r="AN149" s="322">
        <f t="shared" ca="1" si="60"/>
        <v>0.12997103312417324</v>
      </c>
      <c r="AO149" s="322">
        <f t="shared" ca="1" si="60"/>
        <v>0.13593903588791112</v>
      </c>
      <c r="AP149" s="322">
        <f t="shared" ca="1" si="60"/>
        <v>8.1794353603386494E-2</v>
      </c>
      <c r="AQ149" s="322">
        <f t="shared" ca="1" si="60"/>
        <v>-4.2387057206492829E-2</v>
      </c>
    </row>
    <row r="150" spans="2:45" x14ac:dyDescent="0.35">
      <c r="B150" t="s">
        <v>493</v>
      </c>
      <c r="AG150" s="187"/>
      <c r="AI150" s="113">
        <v>2030</v>
      </c>
      <c r="AJ150" s="322">
        <f t="shared" ref="AJ150:AQ150" ca="1" si="61">AJ147/AJ145-1</f>
        <v>0.59240492195003647</v>
      </c>
      <c r="AK150" s="322">
        <f t="shared" ca="1" si="61"/>
        <v>0.58066160890422358</v>
      </c>
      <c r="AL150" s="322">
        <f t="shared" ca="1" si="61"/>
        <v>0.58014582619496191</v>
      </c>
      <c r="AM150" s="322">
        <f t="shared" ca="1" si="61"/>
        <v>0.21976637131900523</v>
      </c>
      <c r="AN150" s="322">
        <f t="shared" ca="1" si="61"/>
        <v>-0.21169820663964856</v>
      </c>
      <c r="AO150" s="322">
        <f t="shared" ca="1" si="61"/>
        <v>-0.19947737664450993</v>
      </c>
      <c r="AP150" s="322">
        <f t="shared" ca="1" si="61"/>
        <v>-0.99067263852754783</v>
      </c>
      <c r="AQ150" s="322">
        <f t="shared" ca="1" si="61"/>
        <v>-0.53159388391317031</v>
      </c>
    </row>
    <row r="151" spans="2:45" x14ac:dyDescent="0.35">
      <c r="AG151" s="187"/>
    </row>
    <row r="152" spans="2:45" x14ac:dyDescent="0.35">
      <c r="AG152" s="187"/>
      <c r="AI152" s="113">
        <v>2015</v>
      </c>
    </row>
    <row r="153" spans="2:45" x14ac:dyDescent="0.35">
      <c r="AG153" s="187"/>
      <c r="AI153" s="113">
        <f>AI152+1</f>
        <v>2016</v>
      </c>
    </row>
    <row r="154" spans="2:45" x14ac:dyDescent="0.35">
      <c r="AG154" s="187"/>
      <c r="AI154" s="113">
        <f t="shared" ref="AI154:AI167" si="62">AI153+1</f>
        <v>2017</v>
      </c>
    </row>
    <row r="155" spans="2:45" x14ac:dyDescent="0.35">
      <c r="AG155" s="187"/>
      <c r="AI155" s="113">
        <f t="shared" si="62"/>
        <v>2018</v>
      </c>
    </row>
    <row r="156" spans="2:45" x14ac:dyDescent="0.35">
      <c r="AG156" s="187"/>
      <c r="AI156" s="113">
        <f t="shared" si="62"/>
        <v>2019</v>
      </c>
    </row>
    <row r="157" spans="2:45" x14ac:dyDescent="0.35">
      <c r="AG157" s="187"/>
      <c r="AI157" s="113">
        <f t="shared" si="62"/>
        <v>2020</v>
      </c>
      <c r="AJ157" s="108">
        <f>AJ120</f>
        <v>23.326496260794567</v>
      </c>
    </row>
    <row r="158" spans="2:45" x14ac:dyDescent="0.35">
      <c r="AG158" s="187"/>
      <c r="AI158" s="113">
        <f t="shared" si="62"/>
        <v>2021</v>
      </c>
    </row>
    <row r="159" spans="2:45" x14ac:dyDescent="0.35">
      <c r="AG159" s="187"/>
      <c r="AI159" s="113">
        <f t="shared" si="62"/>
        <v>2022</v>
      </c>
    </row>
    <row r="160" spans="2:45" x14ac:dyDescent="0.35">
      <c r="B160" t="s">
        <v>494</v>
      </c>
      <c r="AG160" s="187"/>
      <c r="AI160" s="113">
        <f t="shared" si="62"/>
        <v>2023</v>
      </c>
    </row>
    <row r="161" spans="2:36" x14ac:dyDescent="0.35">
      <c r="AG161" s="187"/>
      <c r="AI161" s="113">
        <f t="shared" si="62"/>
        <v>2024</v>
      </c>
    </row>
    <row r="162" spans="2:36" x14ac:dyDescent="0.35">
      <c r="AG162" s="187"/>
      <c r="AI162" s="113">
        <f t="shared" si="62"/>
        <v>2025</v>
      </c>
    </row>
    <row r="163" spans="2:36" x14ac:dyDescent="0.35">
      <c r="AG163" s="187"/>
      <c r="AI163" s="113">
        <f t="shared" si="62"/>
        <v>2026</v>
      </c>
    </row>
    <row r="164" spans="2:36" x14ac:dyDescent="0.35">
      <c r="AG164" s="187"/>
      <c r="AI164" s="113">
        <f t="shared" si="62"/>
        <v>2027</v>
      </c>
    </row>
    <row r="165" spans="2:36" x14ac:dyDescent="0.35">
      <c r="AG165" s="187"/>
      <c r="AI165" s="113">
        <f t="shared" si="62"/>
        <v>2028</v>
      </c>
    </row>
    <row r="166" spans="2:36" x14ac:dyDescent="0.35">
      <c r="AG166" s="187"/>
      <c r="AI166" s="113">
        <f t="shared" si="62"/>
        <v>2029</v>
      </c>
    </row>
    <row r="167" spans="2:36" x14ac:dyDescent="0.35">
      <c r="AG167" s="187"/>
      <c r="AI167" s="113">
        <f t="shared" si="62"/>
        <v>2030</v>
      </c>
      <c r="AJ167" s="108">
        <f>AJ121</f>
        <v>18.676721162166132</v>
      </c>
    </row>
    <row r="168" spans="2:36" x14ac:dyDescent="0.35">
      <c r="AG168" s="187"/>
    </row>
    <row r="169" spans="2:36" x14ac:dyDescent="0.35">
      <c r="AG169" s="187"/>
    </row>
    <row r="170" spans="2:36" x14ac:dyDescent="0.35">
      <c r="B170" t="s">
        <v>495</v>
      </c>
      <c r="AG170" s="187"/>
    </row>
    <row r="171" spans="2:36" x14ac:dyDescent="0.35">
      <c r="AG171" s="187"/>
    </row>
    <row r="172" spans="2:36" x14ac:dyDescent="0.35">
      <c r="AG172" s="187"/>
    </row>
    <row r="173" spans="2:36" x14ac:dyDescent="0.35">
      <c r="AG173" s="187"/>
    </row>
    <row r="174" spans="2:36" x14ac:dyDescent="0.35">
      <c r="AG174" s="187"/>
    </row>
    <row r="175" spans="2:36" x14ac:dyDescent="0.35">
      <c r="AG175" s="187"/>
    </row>
    <row r="176" spans="2:36" x14ac:dyDescent="0.35">
      <c r="AG176" s="187"/>
    </row>
    <row r="177" spans="2:33" x14ac:dyDescent="0.35">
      <c r="AG177" s="187"/>
    </row>
    <row r="178" spans="2:33" x14ac:dyDescent="0.35">
      <c r="AG178" s="187"/>
    </row>
    <row r="179" spans="2:33" x14ac:dyDescent="0.35">
      <c r="AG179" s="187"/>
    </row>
    <row r="180" spans="2:33" x14ac:dyDescent="0.35">
      <c r="B180" t="s">
        <v>496</v>
      </c>
      <c r="AG180" s="187"/>
    </row>
    <row r="181" spans="2:33" x14ac:dyDescent="0.35">
      <c r="AG181" s="187"/>
    </row>
    <row r="182" spans="2:33" x14ac:dyDescent="0.35">
      <c r="AG182" s="187"/>
    </row>
    <row r="183" spans="2:33" x14ac:dyDescent="0.35">
      <c r="AG183" s="187"/>
    </row>
    <row r="184" spans="2:33" x14ac:dyDescent="0.35">
      <c r="AG184" s="187"/>
    </row>
    <row r="185" spans="2:33" x14ac:dyDescent="0.35">
      <c r="AG185" s="187"/>
    </row>
    <row r="186" spans="2:33" x14ac:dyDescent="0.35">
      <c r="AG186" s="187"/>
    </row>
    <row r="187" spans="2:33" x14ac:dyDescent="0.35">
      <c r="AG187" s="187"/>
    </row>
    <row r="188" spans="2:33" x14ac:dyDescent="0.35">
      <c r="AG188" s="187"/>
    </row>
    <row r="189" spans="2:33" x14ac:dyDescent="0.35">
      <c r="AG189" s="187"/>
    </row>
    <row r="190" spans="2:33" ht="21.75" x14ac:dyDescent="0.45">
      <c r="B190" s="22" t="s">
        <v>421</v>
      </c>
      <c r="AG190" s="187"/>
    </row>
    <row r="191" spans="2:33" x14ac:dyDescent="0.35">
      <c r="AG191" s="187"/>
    </row>
    <row r="192" spans="2:33" x14ac:dyDescent="0.35">
      <c r="AG192" s="187"/>
    </row>
    <row r="193" spans="33:34" x14ac:dyDescent="0.35">
      <c r="AG193" s="187"/>
    </row>
    <row r="194" spans="33:34" x14ac:dyDescent="0.35">
      <c r="AG194" s="187"/>
    </row>
    <row r="195" spans="33:34" x14ac:dyDescent="0.35">
      <c r="AG195" s="187"/>
    </row>
    <row r="196" spans="33:34" x14ac:dyDescent="0.35">
      <c r="AG196" s="187"/>
    </row>
    <row r="197" spans="33:34" x14ac:dyDescent="0.35">
      <c r="AG197" s="187"/>
    </row>
    <row r="198" spans="33:34" x14ac:dyDescent="0.35">
      <c r="AG198" s="187"/>
    </row>
    <row r="199" spans="33:34" x14ac:dyDescent="0.35">
      <c r="AG199" s="187"/>
    </row>
    <row r="200" spans="33:34" x14ac:dyDescent="0.35">
      <c r="AG200" s="187"/>
    </row>
    <row r="201" spans="33:34" x14ac:dyDescent="0.35">
      <c r="AG201" s="187"/>
    </row>
    <row r="202" spans="33:34" x14ac:dyDescent="0.35">
      <c r="AG202" s="187"/>
    </row>
    <row r="203" spans="33:34" x14ac:dyDescent="0.35">
      <c r="AG203" s="187"/>
    </row>
    <row r="204" spans="33:34" x14ac:dyDescent="0.35">
      <c r="AG204" s="187"/>
    </row>
    <row r="205" spans="33:34" x14ac:dyDescent="0.35">
      <c r="AG205" s="187"/>
    </row>
    <row r="206" spans="33:34" x14ac:dyDescent="0.35">
      <c r="AG206" s="187"/>
    </row>
    <row r="207" spans="33:34" x14ac:dyDescent="0.35">
      <c r="AG207" s="187"/>
      <c r="AH207" t="s">
        <v>563</v>
      </c>
    </row>
    <row r="208" spans="33:34" x14ac:dyDescent="0.35">
      <c r="AG208" s="187"/>
    </row>
    <row r="209" spans="33:33" x14ac:dyDescent="0.35">
      <c r="AG209" s="187"/>
    </row>
    <row r="210" spans="33:33" x14ac:dyDescent="0.35">
      <c r="AG210" s="187"/>
    </row>
    <row r="211" spans="33:33" x14ac:dyDescent="0.35">
      <c r="AG211" s="187"/>
    </row>
    <row r="212" spans="33:33" x14ac:dyDescent="0.35">
      <c r="AG212" s="187"/>
    </row>
    <row r="213" spans="33:33" x14ac:dyDescent="0.35">
      <c r="AG213" s="187"/>
    </row>
    <row r="214" spans="33:33" x14ac:dyDescent="0.35">
      <c r="AG214" s="187"/>
    </row>
    <row r="215" spans="33:33" x14ac:dyDescent="0.35">
      <c r="AG215" s="187"/>
    </row>
    <row r="216" spans="33:33" x14ac:dyDescent="0.35">
      <c r="AG216" s="187"/>
    </row>
    <row r="217" spans="33:33" x14ac:dyDescent="0.35">
      <c r="AG217" s="187"/>
    </row>
    <row r="218" spans="33:33" x14ac:dyDescent="0.35">
      <c r="AG218" s="187"/>
    </row>
    <row r="219" spans="33:33" x14ac:dyDescent="0.35">
      <c r="AG219" s="187"/>
    </row>
    <row r="220" spans="33:33" x14ac:dyDescent="0.35">
      <c r="AG220" s="187"/>
    </row>
    <row r="221" spans="33:33" x14ac:dyDescent="0.35">
      <c r="AG221" s="187"/>
    </row>
    <row r="222" spans="33:33" x14ac:dyDescent="0.35">
      <c r="AG222" s="187"/>
    </row>
    <row r="223" spans="33:33" x14ac:dyDescent="0.35">
      <c r="AG223" s="187"/>
    </row>
    <row r="224" spans="33:33" x14ac:dyDescent="0.35">
      <c r="AG224" s="187"/>
    </row>
    <row r="225" spans="33:33" x14ac:dyDescent="0.35">
      <c r="AG225" s="187"/>
    </row>
    <row r="226" spans="33:33" x14ac:dyDescent="0.35">
      <c r="AG226" s="187"/>
    </row>
    <row r="227" spans="33:33" x14ac:dyDescent="0.35">
      <c r="AG227" s="187"/>
    </row>
    <row r="228" spans="33:33" x14ac:dyDescent="0.35">
      <c r="AG228" s="187"/>
    </row>
    <row r="229" spans="33:33" x14ac:dyDescent="0.35">
      <c r="AG229" s="187"/>
    </row>
    <row r="230" spans="33:33" x14ac:dyDescent="0.35">
      <c r="AG230" s="187"/>
    </row>
    <row r="231" spans="33:33" x14ac:dyDescent="0.35">
      <c r="AG231" s="187"/>
    </row>
    <row r="232" spans="33:33" x14ac:dyDescent="0.35">
      <c r="AG232" s="187"/>
    </row>
    <row r="233" spans="33:33" x14ac:dyDescent="0.35">
      <c r="AG233" s="187"/>
    </row>
    <row r="234" spans="33:33" x14ac:dyDescent="0.35">
      <c r="AG234" s="187"/>
    </row>
    <row r="235" spans="33:33" x14ac:dyDescent="0.35">
      <c r="AG235" s="187"/>
    </row>
    <row r="236" spans="33:33" x14ac:dyDescent="0.35">
      <c r="AG236" s="187"/>
    </row>
    <row r="237" spans="33:33" x14ac:dyDescent="0.35">
      <c r="AG237" s="187"/>
    </row>
    <row r="238" spans="33:33" x14ac:dyDescent="0.35">
      <c r="AG238" s="187"/>
    </row>
    <row r="239" spans="33:33" x14ac:dyDescent="0.35">
      <c r="AG239" s="187"/>
    </row>
    <row r="240" spans="33:33" x14ac:dyDescent="0.35">
      <c r="AG240" s="187"/>
    </row>
    <row r="241" spans="33:33" x14ac:dyDescent="0.35">
      <c r="AG241" s="187"/>
    </row>
    <row r="242" spans="33:33" x14ac:dyDescent="0.35">
      <c r="AG242" s="187"/>
    </row>
    <row r="243" spans="33:33" x14ac:dyDescent="0.35">
      <c r="AG243" s="187"/>
    </row>
    <row r="244" spans="33:33" x14ac:dyDescent="0.35">
      <c r="AG244" s="187"/>
    </row>
    <row r="245" spans="33:33" x14ac:dyDescent="0.35">
      <c r="AG245" s="187"/>
    </row>
    <row r="246" spans="33:33" x14ac:dyDescent="0.35">
      <c r="AG246" s="187"/>
    </row>
    <row r="247" spans="33:33" x14ac:dyDescent="0.35">
      <c r="AG247" s="187"/>
    </row>
    <row r="248" spans="33:33" x14ac:dyDescent="0.35">
      <c r="AG248" s="187"/>
    </row>
    <row r="249" spans="33:33" x14ac:dyDescent="0.35">
      <c r="AG249" s="187"/>
    </row>
    <row r="250" spans="33:33" x14ac:dyDescent="0.35">
      <c r="AG250" s="187"/>
    </row>
    <row r="251" spans="33:33" x14ac:dyDescent="0.35">
      <c r="AG251" s="187"/>
    </row>
    <row r="252" spans="33:33" x14ac:dyDescent="0.35">
      <c r="AG252" s="187"/>
    </row>
    <row r="253" spans="33:33" x14ac:dyDescent="0.35">
      <c r="AG253" s="187"/>
    </row>
    <row r="254" spans="33:33" x14ac:dyDescent="0.35">
      <c r="AG254" s="187"/>
    </row>
    <row r="255" spans="33:33" x14ac:dyDescent="0.35">
      <c r="AG255" s="187"/>
    </row>
    <row r="256" spans="33:33" x14ac:dyDescent="0.35">
      <c r="AG256" s="187"/>
    </row>
    <row r="257" spans="2:55" x14ac:dyDescent="0.35">
      <c r="AG257" s="187"/>
    </row>
    <row r="258" spans="2:55" x14ac:dyDescent="0.35">
      <c r="AG258" s="187"/>
    </row>
    <row r="259" spans="2:55" x14ac:dyDescent="0.35">
      <c r="AG259" s="187"/>
    </row>
    <row r="260" spans="2:55" x14ac:dyDescent="0.35">
      <c r="AG260" s="187"/>
    </row>
    <row r="261" spans="2:55" x14ac:dyDescent="0.35">
      <c r="AG261" s="187"/>
    </row>
    <row r="262" spans="2:55" x14ac:dyDescent="0.35">
      <c r="AG262" s="187"/>
    </row>
    <row r="263" spans="2:55" x14ac:dyDescent="0.35">
      <c r="AG263" s="187"/>
    </row>
    <row r="264" spans="2:55" x14ac:dyDescent="0.35">
      <c r="AG264" s="187"/>
    </row>
    <row r="265" spans="2:55" x14ac:dyDescent="0.35">
      <c r="AG265" s="187"/>
    </row>
    <row r="266" spans="2:55" x14ac:dyDescent="0.35">
      <c r="AG266" s="187"/>
    </row>
    <row r="267" spans="2:55" x14ac:dyDescent="0.35">
      <c r="AG267" s="187"/>
    </row>
    <row r="268" spans="2:55" x14ac:dyDescent="0.35">
      <c r="B268" s="292"/>
      <c r="C268" s="293"/>
      <c r="D268" t="s">
        <v>523</v>
      </c>
      <c r="AG268" s="187"/>
      <c r="AI268" s="113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</row>
    <row r="269" spans="2:55" x14ac:dyDescent="0.35">
      <c r="B269" s="294"/>
      <c r="C269" s="295"/>
      <c r="D269" t="s">
        <v>524</v>
      </c>
      <c r="AG269" s="187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</row>
    <row r="270" spans="2:55" ht="8.85" customHeight="1" thickBot="1" x14ac:dyDescent="0.4">
      <c r="B270" s="298"/>
      <c r="C270" s="298"/>
      <c r="D270" s="411" t="s">
        <v>564</v>
      </c>
      <c r="E270" s="411"/>
      <c r="F270" s="411"/>
      <c r="G270" s="411"/>
      <c r="H270" s="411"/>
      <c r="I270" s="411"/>
      <c r="J270" s="411"/>
      <c r="K270" s="411"/>
      <c r="L270" s="411"/>
      <c r="M270" s="411"/>
      <c r="N270" s="411"/>
      <c r="O270" s="411"/>
      <c r="P270" s="411"/>
      <c r="Q270" s="411"/>
      <c r="R270" s="411"/>
      <c r="S270" s="411"/>
      <c r="T270" s="411"/>
      <c r="U270" s="411"/>
      <c r="V270" s="411"/>
      <c r="W270" s="411"/>
      <c r="X270" s="411"/>
      <c r="Y270" s="411"/>
      <c r="Z270" s="411"/>
      <c r="AA270" s="411"/>
      <c r="AB270" s="411"/>
      <c r="AC270" s="411"/>
      <c r="AD270" s="411"/>
      <c r="AE270" s="411"/>
      <c r="AG270" s="187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</row>
    <row r="271" spans="2:55" ht="8.85" customHeight="1" x14ac:dyDescent="0.35">
      <c r="B271" s="299"/>
      <c r="C271" s="299"/>
      <c r="D271" s="411"/>
      <c r="E271" s="411"/>
      <c r="F271" s="411"/>
      <c r="G271" s="411"/>
      <c r="H271" s="411"/>
      <c r="I271" s="411"/>
      <c r="J271" s="411"/>
      <c r="K271" s="411"/>
      <c r="L271" s="411"/>
      <c r="M271" s="411"/>
      <c r="N271" s="411"/>
      <c r="O271" s="411"/>
      <c r="P271" s="411"/>
      <c r="Q271" s="411"/>
      <c r="R271" s="411"/>
      <c r="S271" s="411"/>
      <c r="T271" s="411"/>
      <c r="U271" s="411"/>
      <c r="V271" s="411"/>
      <c r="W271" s="411"/>
      <c r="X271" s="411"/>
      <c r="Y271" s="411"/>
      <c r="Z271" s="411"/>
      <c r="AA271" s="411"/>
      <c r="AB271" s="411"/>
      <c r="AC271" s="411"/>
      <c r="AD271" s="411"/>
      <c r="AE271" s="411"/>
      <c r="AG271" s="187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</row>
    <row r="272" spans="2:55" ht="8.85" customHeight="1" thickBot="1" x14ac:dyDescent="0.4">
      <c r="B272" s="296"/>
      <c r="C272" s="296"/>
      <c r="D272" s="411" t="s">
        <v>565</v>
      </c>
      <c r="E272" s="411"/>
      <c r="F272" s="411"/>
      <c r="G272" s="411"/>
      <c r="H272" s="411"/>
      <c r="I272" s="411"/>
      <c r="J272" s="411"/>
      <c r="K272" s="411"/>
      <c r="L272" s="411"/>
      <c r="M272" s="411"/>
      <c r="N272" s="411"/>
      <c r="O272" s="411"/>
      <c r="P272" s="411"/>
      <c r="Q272" s="411"/>
      <c r="R272" s="411"/>
      <c r="S272" s="411"/>
      <c r="T272" s="411"/>
      <c r="U272" s="411"/>
      <c r="V272" s="411"/>
      <c r="W272" s="411"/>
      <c r="X272" s="411"/>
      <c r="Y272" s="411"/>
      <c r="Z272" s="411"/>
      <c r="AA272" s="411"/>
      <c r="AB272" s="411"/>
      <c r="AC272" s="411"/>
      <c r="AD272" s="411"/>
      <c r="AE272" s="411"/>
      <c r="AG272" s="187"/>
      <c r="AI272" s="113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</row>
    <row r="273" spans="2:59" ht="8.85" customHeight="1" x14ac:dyDescent="0.35">
      <c r="B273" s="297"/>
      <c r="C273" s="297"/>
      <c r="D273" s="411"/>
      <c r="E273" s="411"/>
      <c r="F273" s="411"/>
      <c r="G273" s="411"/>
      <c r="H273" s="411"/>
      <c r="I273" s="411"/>
      <c r="J273" s="411"/>
      <c r="K273" s="411"/>
      <c r="L273" s="411"/>
      <c r="M273" s="411"/>
      <c r="N273" s="411"/>
      <c r="O273" s="411"/>
      <c r="P273" s="411"/>
      <c r="Q273" s="411"/>
      <c r="R273" s="411"/>
      <c r="S273" s="411"/>
      <c r="T273" s="411"/>
      <c r="U273" s="411"/>
      <c r="V273" s="411"/>
      <c r="W273" s="411"/>
      <c r="X273" s="411"/>
      <c r="Y273" s="411"/>
      <c r="Z273" s="411"/>
      <c r="AA273" s="411"/>
      <c r="AB273" s="411"/>
      <c r="AC273" s="411"/>
      <c r="AD273" s="411"/>
      <c r="AE273" s="411"/>
      <c r="AG273" s="187"/>
      <c r="AI273" s="113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</row>
    <row r="274" spans="2:59" x14ac:dyDescent="0.35">
      <c r="AG274" s="187"/>
    </row>
    <row r="275" spans="2:59" x14ac:dyDescent="0.35">
      <c r="AG275" s="187"/>
    </row>
    <row r="276" spans="2:59" x14ac:dyDescent="0.35">
      <c r="AG276" s="187"/>
    </row>
    <row r="277" spans="2:59" x14ac:dyDescent="0.35">
      <c r="AG277" s="187"/>
    </row>
    <row r="278" spans="2:59" x14ac:dyDescent="0.35">
      <c r="AG278" s="187"/>
    </row>
    <row r="279" spans="2:59" x14ac:dyDescent="0.35">
      <c r="AG279" s="187"/>
    </row>
    <row r="280" spans="2:59" x14ac:dyDescent="0.35">
      <c r="AG280" s="187"/>
      <c r="AI280" s="246" t="s">
        <v>468</v>
      </c>
    </row>
    <row r="281" spans="2:59" x14ac:dyDescent="0.35">
      <c r="AG281" s="187"/>
    </row>
    <row r="282" spans="2:59" x14ac:dyDescent="0.35">
      <c r="AG282" s="187"/>
      <c r="AJ282" s="412" t="s">
        <v>337</v>
      </c>
      <c r="AK282" s="413"/>
      <c r="AL282" s="413"/>
      <c r="AM282" s="413"/>
      <c r="AN282" s="414"/>
      <c r="AO282" s="412" t="s">
        <v>340</v>
      </c>
      <c r="AP282" s="413"/>
      <c r="AQ282" s="413"/>
      <c r="AR282" s="413"/>
      <c r="AS282" s="414"/>
      <c r="AT282" s="412" t="s">
        <v>341</v>
      </c>
      <c r="AU282" s="413"/>
      <c r="AV282" s="413"/>
      <c r="AW282" s="413"/>
      <c r="AX282" s="414"/>
      <c r="AY282" s="412" t="s">
        <v>344</v>
      </c>
      <c r="AZ282" s="413"/>
      <c r="BA282" s="413"/>
      <c r="BB282" s="413"/>
      <c r="BC282" s="414"/>
    </row>
    <row r="283" spans="2:59" x14ac:dyDescent="0.35">
      <c r="AG283" s="187"/>
      <c r="AJ283" s="311" t="s">
        <v>469</v>
      </c>
      <c r="AK283" s="78" t="s">
        <v>330</v>
      </c>
      <c r="AL283" s="78" t="s">
        <v>331</v>
      </c>
      <c r="AM283" s="78" t="s">
        <v>554</v>
      </c>
      <c r="AN283" s="312" t="s">
        <v>471</v>
      </c>
      <c r="AO283" s="311" t="s">
        <v>469</v>
      </c>
      <c r="AP283" s="78" t="s">
        <v>330</v>
      </c>
      <c r="AQ283" s="78" t="s">
        <v>331</v>
      </c>
      <c r="AR283" s="78" t="s">
        <v>470</v>
      </c>
      <c r="AS283" s="312" t="s">
        <v>471</v>
      </c>
      <c r="AT283" s="311" t="s">
        <v>469</v>
      </c>
      <c r="AU283" s="78" t="s">
        <v>330</v>
      </c>
      <c r="AV283" s="78" t="s">
        <v>331</v>
      </c>
      <c r="AW283" s="78" t="s">
        <v>470</v>
      </c>
      <c r="AX283" s="312" t="s">
        <v>471</v>
      </c>
      <c r="AY283" s="311" t="s">
        <v>469</v>
      </c>
      <c r="AZ283" s="78" t="s">
        <v>330</v>
      </c>
      <c r="BA283" s="78" t="s">
        <v>331</v>
      </c>
      <c r="BB283" s="78" t="s">
        <v>470</v>
      </c>
      <c r="BC283" s="312" t="s">
        <v>471</v>
      </c>
    </row>
    <row r="284" spans="2:59" x14ac:dyDescent="0.35">
      <c r="AG284" s="187"/>
      <c r="AI284" s="113">
        <v>2015</v>
      </c>
      <c r="AJ284" s="148">
        <f>SUM(S1_BaseRefNGNoHydro!$C8:$E8)</f>
        <v>141.94137254070085</v>
      </c>
      <c r="AK284" s="34">
        <f>MAX(SUM(S1_BaseRefNGNoHydro!$K8,-S1_BaseRefNGNoHydro!$N8,-S1_BaseRefNGNoHydro!$O8),0)</f>
        <v>9.9414400000000001</v>
      </c>
      <c r="AL284" s="34">
        <f>S1_BaseRefNGNoHydro!$F8</f>
        <v>85.720249999999993</v>
      </c>
      <c r="AM284" s="34">
        <f>SUM(S1_BaseRefNGNoHydro!$G8,S1_BaseRefNGNoHydro!$L8:$M8)+AL284</f>
        <v>153.64758333333333</v>
      </c>
      <c r="AN284" s="313">
        <f>S1_BaseRefNGNoHydro!$P8</f>
        <v>0</v>
      </c>
      <c r="AO284" s="148">
        <f>SUM(S4_BaseRefNGHydro!$C8:$E8)</f>
        <v>141.94137254070085</v>
      </c>
      <c r="AP284" s="34">
        <f>MAX(SUM(S4_BaseRefNGHydro!$K8,-S4_BaseRefNGHydro!$N8,-S4_BaseRefNGHydro!$O8),0)</f>
        <v>9.9414400000000001</v>
      </c>
      <c r="AQ284" s="34">
        <f>S4_BaseRefNGHydro!$F8</f>
        <v>85.720249999999993</v>
      </c>
      <c r="AR284" s="34">
        <f>SUM(S4_BaseRefNGHydro!$G8,S4_BaseRefNGHydro!$L8:$M8)+AQ284</f>
        <v>153.64758333333333</v>
      </c>
      <c r="AS284" s="313">
        <f>S4_BaseRefNGHydro!$P8</f>
        <v>0</v>
      </c>
      <c r="AT284" s="148">
        <f>SUM(S5_LowRefNGNoHydro!$C8:$E8)</f>
        <v>141.94137254070085</v>
      </c>
      <c r="AU284" s="34">
        <f>MAX(SUM(S5_LowRefNGNoHydro!$K8,-S5_LowRefNGNoHydro!$N8,-S5_LowRefNGNoHydro!$O8),0)</f>
        <v>9.9412400000000005</v>
      </c>
      <c r="AV284" s="34">
        <f>S5_LowRefNGNoHydro!$F8</f>
        <v>85.720249999999993</v>
      </c>
      <c r="AW284" s="34">
        <f>SUM(S5_LowRefNGNoHydro!$G8,S5_LowRefNGNoHydro!$L8:$M8)+AV284</f>
        <v>153.64758333333333</v>
      </c>
      <c r="AX284" s="313">
        <f>S5_LowRefNGNoHydro!$P8</f>
        <v>0</v>
      </c>
      <c r="AY284" s="148">
        <f>SUM(S8_LowRefNGHydro!$C8:$E8)</f>
        <v>141.94137254070085</v>
      </c>
      <c r="AZ284" s="34">
        <f>MAX(SUM(S8_LowRefNGHydro!$K8,-S8_LowRefNGHydro!$N8,-S8_LowRefNGHydro!$O8),0)</f>
        <v>9.9412400000000005</v>
      </c>
      <c r="BA284" s="34">
        <f>S8_LowRefNGHydro!$F8</f>
        <v>85.720249999999993</v>
      </c>
      <c r="BB284" s="34">
        <f>SUM(S8_LowRefNGHydro!$G8,S8_LowRefNGHydro!$L8:$M8)+BA284</f>
        <v>153.64758333333333</v>
      </c>
      <c r="BC284" s="313">
        <f>S8_LowRefNGHydro!$P8</f>
        <v>0</v>
      </c>
      <c r="BE284" s="369">
        <f>AL284*24/(RefTables!$F$10*1000)</f>
        <v>2.0129999999999999</v>
      </c>
      <c r="BF284" s="369">
        <f>BG284*24/(RefTables!$F$10*1000)</f>
        <v>5.8708414872798436</v>
      </c>
      <c r="BG284">
        <v>250</v>
      </c>
    </row>
    <row r="285" spans="2:59" x14ac:dyDescent="0.35">
      <c r="AG285" s="187"/>
      <c r="AI285" s="113">
        <f>AI284+1</f>
        <v>2016</v>
      </c>
      <c r="AJ285" s="148">
        <f>SUM(S1_BaseRefNGNoHydro!$C9:$E9)</f>
        <v>142.36789135466694</v>
      </c>
      <c r="AK285" s="34">
        <f>MAX(SUM(S1_BaseRefNGNoHydro!$K9,-S1_BaseRefNGNoHydro!$N9,-S1_BaseRefNGNoHydro!$O9),0)</f>
        <v>14.10284</v>
      </c>
      <c r="AL285" s="34">
        <f>S1_BaseRefNGNoHydro!$F9</f>
        <v>99.970249999999993</v>
      </c>
      <c r="AM285" s="34">
        <f>SUM(S1_BaseRefNGNoHydro!$G9,S1_BaseRefNGNoHydro!$L9:$M9)+AL285</f>
        <v>167.89758333333333</v>
      </c>
      <c r="AN285" s="313">
        <f>S1_BaseRefNGNoHydro!$P9</f>
        <v>0</v>
      </c>
      <c r="AO285" s="148">
        <f>SUM(S4_BaseRefNGHydro!$C9:$E9)</f>
        <v>142.36789135466694</v>
      </c>
      <c r="AP285" s="34">
        <f>MAX(SUM(S4_BaseRefNGHydro!$K9,-S4_BaseRefNGHydro!$N9,-S4_BaseRefNGHydro!$O9),0)</f>
        <v>14.10284</v>
      </c>
      <c r="AQ285" s="34">
        <f>S4_BaseRefNGHydro!$F9</f>
        <v>99.970249999999993</v>
      </c>
      <c r="AR285" s="34">
        <f>SUM(S4_BaseRefNGHydro!$G9,S4_BaseRefNGHydro!$L9:$M9)+AQ285</f>
        <v>167.89758333333333</v>
      </c>
      <c r="AS285" s="313">
        <f>S4_BaseRefNGHydro!$P9</f>
        <v>0</v>
      </c>
      <c r="AT285" s="148">
        <f>SUM(S5_LowRefNGNoHydro!$C9:$E9)</f>
        <v>141.16312562477009</v>
      </c>
      <c r="AU285" s="34">
        <f>MAX(SUM(S5_LowRefNGNoHydro!$K9,-S5_LowRefNGNoHydro!$N9,-S5_LowRefNGNoHydro!$O9),0)</f>
        <v>14.099813133333333</v>
      </c>
      <c r="AV285" s="34">
        <f>S5_LowRefNGNoHydro!$F9</f>
        <v>99.970249999999993</v>
      </c>
      <c r="AW285" s="34">
        <f>SUM(S5_LowRefNGNoHydro!$G9,S5_LowRefNGNoHydro!$L9:$M9)+AV285</f>
        <v>167.89758333333333</v>
      </c>
      <c r="AX285" s="313">
        <f>S5_LowRefNGNoHydro!$P9</f>
        <v>0</v>
      </c>
      <c r="AY285" s="148">
        <f>SUM(S8_LowRefNGHydro!$C9:$E9)</f>
        <v>141.16312562477009</v>
      </c>
      <c r="AZ285" s="34">
        <f>MAX(SUM(S8_LowRefNGHydro!$K9,-S8_LowRefNGHydro!$N9,-S8_LowRefNGHydro!$O9),0)</f>
        <v>14.079893</v>
      </c>
      <c r="BA285" s="34">
        <f>S8_LowRefNGHydro!$F9</f>
        <v>99.970249999999993</v>
      </c>
      <c r="BB285" s="34">
        <f>SUM(S8_LowRefNGHydro!$G9,S8_LowRefNGHydro!$L9:$M9)+BA285</f>
        <v>167.89758333333333</v>
      </c>
      <c r="BC285" s="313">
        <f>S8_LowRefNGHydro!$P9</f>
        <v>0</v>
      </c>
      <c r="BE285" s="369">
        <f>AL285*24/(RefTables!$F$10*1000)</f>
        <v>2.3476379647749512</v>
      </c>
    </row>
    <row r="286" spans="2:59" x14ac:dyDescent="0.35">
      <c r="AG286" s="187"/>
      <c r="AI286" s="113">
        <f t="shared" ref="AI286:AI299" si="63">AI285+1</f>
        <v>2017</v>
      </c>
      <c r="AJ286" s="148">
        <f>SUM(S1_BaseRefNGNoHydro!$C10:$E10)</f>
        <v>142.5731474960993</v>
      </c>
      <c r="AK286" s="34">
        <f>MAX(SUM(S1_BaseRefNGNoHydro!$K10,-S1_BaseRefNGNoHydro!$N10,-S1_BaseRefNGNoHydro!$O10),0)</f>
        <v>12.459070000000001</v>
      </c>
      <c r="AL286" s="34">
        <f>S1_BaseRefNGNoHydro!$F10</f>
        <v>99.970249999999993</v>
      </c>
      <c r="AM286" s="34">
        <f>SUM(S1_BaseRefNGNoHydro!$G10,S1_BaseRefNGNoHydro!$L10:$M10)+AL286</f>
        <v>167.89758333333333</v>
      </c>
      <c r="AN286" s="313">
        <f>S1_BaseRefNGNoHydro!$P10</f>
        <v>0</v>
      </c>
      <c r="AO286" s="148">
        <f>SUM(S4_BaseRefNGHydro!$C10:$E10)</f>
        <v>142.5731474960993</v>
      </c>
      <c r="AP286" s="34">
        <f>MAX(SUM(S4_BaseRefNGHydro!$K10,-S4_BaseRefNGHydro!$N10,-S4_BaseRefNGHydro!$O10),0)</f>
        <v>12.459070000000001</v>
      </c>
      <c r="AQ286" s="34">
        <f>S4_BaseRefNGHydro!$F10</f>
        <v>99.970249999999993</v>
      </c>
      <c r="AR286" s="34">
        <f>SUM(S4_BaseRefNGHydro!$G10,S4_BaseRefNGHydro!$L10:$M10)+AQ286</f>
        <v>167.89758333333333</v>
      </c>
      <c r="AS286" s="313">
        <f>S4_BaseRefNGHydro!$P10</f>
        <v>0</v>
      </c>
      <c r="AT286" s="148">
        <f>SUM(S5_LowRefNGNoHydro!$C10:$E10)</f>
        <v>140.63143069831921</v>
      </c>
      <c r="AU286" s="34">
        <f>MAX(SUM(S5_LowRefNGNoHydro!$K10,-S5_LowRefNGNoHydro!$N10,-S5_LowRefNGNoHydro!$O10),0)</f>
        <v>12.453016266666667</v>
      </c>
      <c r="AV286" s="34">
        <f>S5_LowRefNGNoHydro!$F10</f>
        <v>99.970249999999993</v>
      </c>
      <c r="AW286" s="34">
        <f>SUM(S5_LowRefNGNoHydro!$G10,S5_LowRefNGNoHydro!$L10:$M10)+AV286</f>
        <v>167.89758333333333</v>
      </c>
      <c r="AX286" s="313">
        <f>S5_LowRefNGNoHydro!$P10</f>
        <v>0</v>
      </c>
      <c r="AY286" s="148">
        <f>SUM(S8_LowRefNGHydro!$C10:$E10)</f>
        <v>140.63143069831921</v>
      </c>
      <c r="AZ286" s="34">
        <f>MAX(SUM(S8_LowRefNGHydro!$K10,-S8_LowRefNGHydro!$N10,-S8_LowRefNGHydro!$O10),0)</f>
        <v>12.413176</v>
      </c>
      <c r="BA286" s="34">
        <f>S8_LowRefNGHydro!$F10</f>
        <v>99.970249999999993</v>
      </c>
      <c r="BB286" s="34">
        <f>SUM(S8_LowRefNGHydro!$G10,S8_LowRefNGHydro!$L10:$M10)+BA286</f>
        <v>167.89758333333333</v>
      </c>
      <c r="BC286" s="313">
        <f>S8_LowRefNGHydro!$P10</f>
        <v>0</v>
      </c>
      <c r="BE286" s="369">
        <f>AL286*24/(RefTables!$F$10*1000)</f>
        <v>2.3476379647749512</v>
      </c>
    </row>
    <row r="287" spans="2:59" x14ac:dyDescent="0.35">
      <c r="AG287" s="187"/>
      <c r="AI287" s="113">
        <f t="shared" si="63"/>
        <v>2018</v>
      </c>
      <c r="AJ287" s="148">
        <f>SUM(S1_BaseRefNGNoHydro!$C11:$E11)</f>
        <v>143.19082471359721</v>
      </c>
      <c r="AK287" s="34">
        <f>MAX(SUM(S1_BaseRefNGNoHydro!$K11,-S1_BaseRefNGNoHydro!$N11,-S1_BaseRefNGNoHydro!$O11),0)</f>
        <v>23.138960000000001</v>
      </c>
      <c r="AL287" s="34">
        <f>S1_BaseRefNGNoHydro!$F11</f>
        <v>99.970249999999993</v>
      </c>
      <c r="AM287" s="34">
        <f>SUM(S1_BaseRefNGNoHydro!$G11,S1_BaseRefNGNoHydro!$L11:$M11)+AL287</f>
        <v>167.89758333333333</v>
      </c>
      <c r="AN287" s="313">
        <f>S1_BaseRefNGNoHydro!$P11</f>
        <v>0</v>
      </c>
      <c r="AO287" s="148">
        <f>SUM(S4_BaseRefNGHydro!$C11:$E11)</f>
        <v>143.19082471359721</v>
      </c>
      <c r="AP287" s="34">
        <f>MAX(SUM(S4_BaseRefNGHydro!$K11,-S4_BaseRefNGHydro!$N11,-S4_BaseRefNGHydro!$O11),0)</f>
        <v>20.780260000000002</v>
      </c>
      <c r="AQ287" s="34">
        <f>S4_BaseRefNGHydro!$F11</f>
        <v>99.970249999999993</v>
      </c>
      <c r="AR287" s="34">
        <f>SUM(S4_BaseRefNGHydro!$G11,S4_BaseRefNGHydro!$L11:$M11)+AQ287</f>
        <v>167.89758333333333</v>
      </c>
      <c r="AS287" s="313">
        <f>S4_BaseRefNGHydro!$P11</f>
        <v>0</v>
      </c>
      <c r="AT287" s="148">
        <f>SUM(S5_LowRefNGNoHydro!$C11:$E11)</f>
        <v>140.42244471264382</v>
      </c>
      <c r="AU287" s="34">
        <f>MAX(SUM(S5_LowRefNGNoHydro!$K11,-S5_LowRefNGNoHydro!$N11,-S5_LowRefNGNoHydro!$O11),0)</f>
        <v>22.564089399999997</v>
      </c>
      <c r="AV287" s="34">
        <f>S5_LowRefNGNoHydro!$F11</f>
        <v>99.970249999999993</v>
      </c>
      <c r="AW287" s="34">
        <f>SUM(S5_LowRefNGNoHydro!$G11,S5_LowRefNGNoHydro!$L11:$M11)+AV287</f>
        <v>167.89758333333333</v>
      </c>
      <c r="AX287" s="313">
        <f>S5_LowRefNGNoHydro!$P11</f>
        <v>0</v>
      </c>
      <c r="AY287" s="148">
        <f>SUM(S8_LowRefNGHydro!$C11:$E11)</f>
        <v>140.42244471264382</v>
      </c>
      <c r="AZ287" s="34">
        <f>MAX(SUM(S8_LowRefNGHydro!$K11,-S8_LowRefNGHydro!$N11,-S8_LowRefNGHydro!$O11),0)</f>
        <v>19.111969000000002</v>
      </c>
      <c r="BA287" s="34">
        <f>S8_LowRefNGHydro!$F11</f>
        <v>99.970249999999993</v>
      </c>
      <c r="BB287" s="34">
        <f>SUM(S8_LowRefNGHydro!$G11,S8_LowRefNGHydro!$L11:$M11)+BA287</f>
        <v>167.89758333333333</v>
      </c>
      <c r="BC287" s="313">
        <f>S8_LowRefNGHydro!$P11</f>
        <v>0</v>
      </c>
      <c r="BE287" s="369">
        <f>AL287*24/(RefTables!$F$10*1000)</f>
        <v>2.3476379647749512</v>
      </c>
    </row>
    <row r="288" spans="2:59" x14ac:dyDescent="0.35">
      <c r="AG288" s="187"/>
      <c r="AI288" s="113">
        <f t="shared" si="63"/>
        <v>2019</v>
      </c>
      <c r="AJ288" s="148">
        <f>SUM(S1_BaseRefNGNoHydro!$C12:$E12)</f>
        <v>143.638908297412</v>
      </c>
      <c r="AK288" s="34">
        <f>MAX(SUM(S1_BaseRefNGNoHydro!$K12,-S1_BaseRefNGNoHydro!$N12,-S1_BaseRefNGNoHydro!$O12),0)</f>
        <v>19.635619999999999</v>
      </c>
      <c r="AL288" s="34">
        <f>S1_BaseRefNGNoHydro!$F12</f>
        <v>99.970249999999993</v>
      </c>
      <c r="AM288" s="34">
        <f>SUM(S1_BaseRefNGNoHydro!$G12,S1_BaseRefNGNoHydro!$L12:$M12)+AL288</f>
        <v>167.89758333333333</v>
      </c>
      <c r="AN288" s="313">
        <f>S1_BaseRefNGNoHydro!$P12</f>
        <v>0</v>
      </c>
      <c r="AO288" s="148">
        <f>SUM(S4_BaseRefNGHydro!$C12:$E12)</f>
        <v>143.638908297412</v>
      </c>
      <c r="AP288" s="34">
        <f>MAX(SUM(S4_BaseRefNGHydro!$K12,-S4_BaseRefNGHydro!$N12,-S4_BaseRefNGHydro!$O12),0)</f>
        <v>16.20204</v>
      </c>
      <c r="AQ288" s="34">
        <f>S4_BaseRefNGHydro!$F12</f>
        <v>99.970249999999993</v>
      </c>
      <c r="AR288" s="34">
        <f>SUM(S4_BaseRefNGHydro!$G12,S4_BaseRefNGHydro!$L12:$M12)+AQ288</f>
        <v>167.89758333333333</v>
      </c>
      <c r="AS288" s="313">
        <f>S4_BaseRefNGHydro!$P12</f>
        <v>0</v>
      </c>
      <c r="AT288" s="148">
        <f>SUM(S5_LowRefNGNoHydro!$C12:$E12)</f>
        <v>139.95415295799552</v>
      </c>
      <c r="AU288" s="34">
        <f>MAX(SUM(S5_LowRefNGNoHydro!$K12,-S5_LowRefNGNoHydro!$N12,-S5_LowRefNGNoHydro!$O12),0)</f>
        <v>16.189932533333334</v>
      </c>
      <c r="AV288" s="34">
        <f>S5_LowRefNGNoHydro!$F12</f>
        <v>99.970249999999993</v>
      </c>
      <c r="AW288" s="34">
        <f>SUM(S5_LowRefNGNoHydro!$G12,S5_LowRefNGNoHydro!$L12:$M12)+AV288</f>
        <v>167.89758333333333</v>
      </c>
      <c r="AX288" s="313">
        <f>S5_LowRefNGNoHydro!$P12</f>
        <v>0</v>
      </c>
      <c r="AY288" s="148">
        <f>SUM(S8_LowRefNGHydro!$C12:$E12)</f>
        <v>139.95415295799552</v>
      </c>
      <c r="AZ288" s="34">
        <f>MAX(SUM(S8_LowRefNGHydro!$K12,-S8_LowRefNGHydro!$N12,-S8_LowRefNGHydro!$O12),0)</f>
        <v>16.110251999999999</v>
      </c>
      <c r="BA288" s="34">
        <f>S8_LowRefNGHydro!$F12</f>
        <v>99.970249999999993</v>
      </c>
      <c r="BB288" s="34">
        <f>SUM(S8_LowRefNGHydro!$G12,S8_LowRefNGHydro!$L12:$M12)+BA288</f>
        <v>167.89758333333333</v>
      </c>
      <c r="BC288" s="313">
        <f>S8_LowRefNGHydro!$P12</f>
        <v>0</v>
      </c>
      <c r="BE288" s="369">
        <f>AL288*24/(RefTables!$F$10*1000)</f>
        <v>2.3476379647749512</v>
      </c>
    </row>
    <row r="289" spans="33:57" x14ac:dyDescent="0.35">
      <c r="AG289" s="187"/>
      <c r="AI289" s="113">
        <f t="shared" si="63"/>
        <v>2020</v>
      </c>
      <c r="AJ289" s="148">
        <f>SUM(S1_BaseRefNGNoHydro!$C13:$E13)</f>
        <v>142.33927446820192</v>
      </c>
      <c r="AK289" s="34">
        <f>MAX(SUM(S1_BaseRefNGNoHydro!$K13,-S1_BaseRefNGNoHydro!$N13,-S1_BaseRefNGNoHydro!$O13),0)</f>
        <v>53.835350000000005</v>
      </c>
      <c r="AL289" s="34">
        <f>S1_BaseRefNGNoHydro!$F13</f>
        <v>99.970249999999993</v>
      </c>
      <c r="AM289" s="34">
        <f>SUM(S1_BaseRefNGNoHydro!$G13,S1_BaseRefNGNoHydro!$L13:$M13)+AL289</f>
        <v>167.89758333333333</v>
      </c>
      <c r="AN289" s="313">
        <f>S1_BaseRefNGNoHydro!$P13</f>
        <v>33.333333333333329</v>
      </c>
      <c r="AO289" s="148">
        <f>SUM(S4_BaseRefNGHydro!$C13:$E13)</f>
        <v>142.33927446820192</v>
      </c>
      <c r="AP289" s="34">
        <f>MAX(SUM(S4_BaseRefNGHydro!$K13,-S4_BaseRefNGHydro!$N13,-S4_BaseRefNGHydro!$O13),0)</f>
        <v>53.381320000000002</v>
      </c>
      <c r="AQ289" s="34">
        <f>S4_BaseRefNGHydro!$F13</f>
        <v>99.970249999999993</v>
      </c>
      <c r="AR289" s="34">
        <f>SUM(S4_BaseRefNGHydro!$G13,S4_BaseRefNGHydro!$L13:$M13)+AQ289</f>
        <v>167.89758333333333</v>
      </c>
      <c r="AS289" s="313">
        <f>S4_BaseRefNGHydro!$P13</f>
        <v>33.333333333333329</v>
      </c>
      <c r="AT289" s="148">
        <f>SUM(S5_LowRefNGNoHydro!$C13:$E13)</f>
        <v>137.73814379032225</v>
      </c>
      <c r="AU289" s="34">
        <f>MAX(SUM(S5_LowRefNGNoHydro!$K13,-S5_LowRefNGNoHydro!$N13,-S5_LowRefNGNoHydro!$O13),0)</f>
        <v>53.366185666666667</v>
      </c>
      <c r="AV289" s="34">
        <f>S5_LowRefNGNoHydro!$F13</f>
        <v>99.970249999999993</v>
      </c>
      <c r="AW289" s="34">
        <f>SUM(S5_LowRefNGNoHydro!$G13,S5_LowRefNGNoHydro!$L13:$M13)+AV289</f>
        <v>167.89758333333333</v>
      </c>
      <c r="AX289" s="313">
        <f>S5_LowRefNGNoHydro!$P13</f>
        <v>29.166666666666664</v>
      </c>
      <c r="AY289" s="148">
        <f>SUM(S8_LowRefNGHydro!$C13:$E13)</f>
        <v>137.73814379032225</v>
      </c>
      <c r="AZ289" s="34">
        <f>MAX(SUM(S8_LowRefNGHydro!$K13,-S8_LowRefNGHydro!$N13,-S8_LowRefNGHydro!$O13),0)</f>
        <v>49.82453499999999</v>
      </c>
      <c r="BA289" s="34">
        <f>S8_LowRefNGHydro!$F13</f>
        <v>99.970249999999993</v>
      </c>
      <c r="BB289" s="34">
        <f>SUM(S8_LowRefNGHydro!$G13,S8_LowRefNGHydro!$L13:$M13)+BA289</f>
        <v>167.89758333333333</v>
      </c>
      <c r="BC289" s="313">
        <f>S8_LowRefNGHydro!$P13</f>
        <v>24.999999999999996</v>
      </c>
      <c r="BE289" s="369">
        <f>AL289*24/(RefTables!$F$10*1000)</f>
        <v>2.3476379647749512</v>
      </c>
    </row>
    <row r="290" spans="33:57" x14ac:dyDescent="0.35">
      <c r="AG290" s="187"/>
      <c r="AI290" s="113">
        <f t="shared" si="63"/>
        <v>2021</v>
      </c>
      <c r="AJ290" s="148">
        <f>SUM(S1_BaseRefNGNoHydro!$C14:$E14)</f>
        <v>141.55636340871075</v>
      </c>
      <c r="AK290" s="34">
        <f>MAX(SUM(S1_BaseRefNGNoHydro!$K14,-S1_BaseRefNGNoHydro!$N14,-S1_BaseRefNGNoHydro!$O14),0)</f>
        <v>51.71199</v>
      </c>
      <c r="AL290" s="34">
        <f>S1_BaseRefNGNoHydro!$F14</f>
        <v>99.970249999999993</v>
      </c>
      <c r="AM290" s="34">
        <f>SUM(S1_BaseRefNGNoHydro!$G14,S1_BaseRefNGNoHydro!$L14:$M14)+AL290</f>
        <v>167.89758333333333</v>
      </c>
      <c r="AN290" s="313">
        <f>S1_BaseRefNGNoHydro!$P14</f>
        <v>33.333333333333329</v>
      </c>
      <c r="AO290" s="148">
        <f>SUM(S4_BaseRefNGHydro!$C14:$E14)</f>
        <v>141.55636340871075</v>
      </c>
      <c r="AP290" s="34">
        <f>MAX(SUM(S4_BaseRefNGHydro!$K14,-S4_BaseRefNGHydro!$N14,-S4_BaseRefNGHydro!$O14),0)</f>
        <v>51.71199</v>
      </c>
      <c r="AQ290" s="34">
        <f>S4_BaseRefNGHydro!$F14</f>
        <v>99.970249999999993</v>
      </c>
      <c r="AR290" s="34">
        <f>SUM(S4_BaseRefNGHydro!$G14,S4_BaseRefNGHydro!$L14:$M14)+AQ290</f>
        <v>167.89758333333333</v>
      </c>
      <c r="AS290" s="313">
        <f>S4_BaseRefNGHydro!$P14</f>
        <v>33.333333333333329</v>
      </c>
      <c r="AT290" s="148">
        <f>SUM(S5_LowRefNGNoHydro!$C14:$E14)</f>
        <v>136.0388573923679</v>
      </c>
      <c r="AU290" s="34">
        <f>MAX(SUM(S5_LowRefNGNoHydro!$K14,-S5_LowRefNGNoHydro!$N14,-S5_LowRefNGNoHydro!$O14),0)</f>
        <v>51.100963100000001</v>
      </c>
      <c r="AV290" s="34">
        <f>S5_LowRefNGNoHydro!$F14</f>
        <v>99.970249999999993</v>
      </c>
      <c r="AW290" s="34">
        <f>SUM(S5_LowRefNGNoHydro!$G14,S5_LowRefNGNoHydro!$L14:$M14)+AV290</f>
        <v>167.89758333333333</v>
      </c>
      <c r="AX290" s="313">
        <f>S5_LowRefNGNoHydro!$P14</f>
        <v>29.166666666666664</v>
      </c>
      <c r="AY290" s="148">
        <f>SUM(S8_LowRefNGHydro!$C14:$E14)</f>
        <v>136.0388573923679</v>
      </c>
      <c r="AZ290" s="34">
        <f>MAX(SUM(S8_LowRefNGHydro!$K14,-S8_LowRefNGHydro!$N14,-S8_LowRefNGHydro!$O14),0)</f>
        <v>51.386969166666667</v>
      </c>
      <c r="BA290" s="34">
        <f>S8_LowRefNGHydro!$F14</f>
        <v>99.970249999999993</v>
      </c>
      <c r="BB290" s="34">
        <f>SUM(S8_LowRefNGHydro!$G14,S8_LowRefNGHydro!$L14:$M14)+BA290</f>
        <v>167.89758333333333</v>
      </c>
      <c r="BC290" s="313">
        <f>S8_LowRefNGHydro!$P14</f>
        <v>24.999999999999996</v>
      </c>
      <c r="BE290" s="369">
        <f>AL290*24/(RefTables!$F$10*1000)</f>
        <v>2.3476379647749512</v>
      </c>
    </row>
    <row r="291" spans="33:57" x14ac:dyDescent="0.35">
      <c r="AG291" s="187"/>
      <c r="AI291" s="113">
        <f t="shared" si="63"/>
        <v>2022</v>
      </c>
      <c r="AJ291" s="148">
        <f>SUM(S1_BaseRefNGNoHydro!$C15:$E15)</f>
        <v>140.77833147695</v>
      </c>
      <c r="AK291" s="34">
        <f>MAX(SUM(S1_BaseRefNGNoHydro!$K15,-S1_BaseRefNGNoHydro!$N15,-S1_BaseRefNGNoHydro!$O15),0)</f>
        <v>52.166459999999994</v>
      </c>
      <c r="AL291" s="34">
        <f>S1_BaseRefNGNoHydro!$F15</f>
        <v>99.970249999999993</v>
      </c>
      <c r="AM291" s="34">
        <f>SUM(S1_BaseRefNGNoHydro!$G15,S1_BaseRefNGNoHydro!$L15:$M15)+AL291</f>
        <v>167.89758333333333</v>
      </c>
      <c r="AN291" s="313">
        <f>S1_BaseRefNGNoHydro!$P15</f>
        <v>33.333333333333329</v>
      </c>
      <c r="AO291" s="148">
        <f>SUM(S4_BaseRefNGHydro!$C15:$E15)</f>
        <v>140.77833147695</v>
      </c>
      <c r="AP291" s="34">
        <f>MAX(SUM(S4_BaseRefNGHydro!$K15,-S4_BaseRefNGHydro!$N15,-S4_BaseRefNGHydro!$O15),0)</f>
        <v>50.569799999999987</v>
      </c>
      <c r="AQ291" s="34">
        <f>S4_BaseRefNGHydro!$F15</f>
        <v>99.970249999999993</v>
      </c>
      <c r="AR291" s="34">
        <f>SUM(S4_BaseRefNGHydro!$G15,S4_BaseRefNGHydro!$L15:$M15)+AQ291</f>
        <v>167.89758333333333</v>
      </c>
      <c r="AS291" s="313">
        <f>S4_BaseRefNGHydro!$P15</f>
        <v>33.333333333333329</v>
      </c>
      <c r="AT291" s="148">
        <f>SUM(S5_LowRefNGNoHydro!$C15:$E15)</f>
        <v>134.34445012214402</v>
      </c>
      <c r="AU291" s="34">
        <f>MAX(SUM(S5_LowRefNGNoHydro!$K15,-S5_LowRefNGNoHydro!$N15,-S5_LowRefNGNoHydro!$O15),0)</f>
        <v>49.855810533333319</v>
      </c>
      <c r="AV291" s="34">
        <f>S5_LowRefNGNoHydro!$F15</f>
        <v>99.970249999999993</v>
      </c>
      <c r="AW291" s="34">
        <f>SUM(S5_LowRefNGNoHydro!$G15,S5_LowRefNGNoHydro!$L15:$M15)+AV291</f>
        <v>167.89758333333333</v>
      </c>
      <c r="AX291" s="313">
        <f>S5_LowRefNGNoHydro!$P15</f>
        <v>29.166666666666664</v>
      </c>
      <c r="AY291" s="148">
        <f>SUM(S8_LowRefNGHydro!$C15:$E15)</f>
        <v>134.34445012214402</v>
      </c>
      <c r="AZ291" s="34">
        <f>MAX(SUM(S8_LowRefNGHydro!$K15,-S8_LowRefNGHydro!$N15,-S8_LowRefNGHydro!$O15),0)</f>
        <v>42.807323333333322</v>
      </c>
      <c r="BA291" s="34">
        <f>S8_LowRefNGHydro!$F15</f>
        <v>99.970249999999993</v>
      </c>
      <c r="BB291" s="34">
        <f>SUM(S8_LowRefNGHydro!$G15,S8_LowRefNGHydro!$L15:$M15)+BA291</f>
        <v>167.89758333333333</v>
      </c>
      <c r="BC291" s="313">
        <f>S8_LowRefNGHydro!$P15</f>
        <v>24.999999999999996</v>
      </c>
      <c r="BE291" s="369">
        <f>AL291*24/(RefTables!$F$10*1000)</f>
        <v>2.3476379647749512</v>
      </c>
    </row>
    <row r="292" spans="33:57" x14ac:dyDescent="0.35">
      <c r="AG292" s="187"/>
      <c r="AI292" s="113">
        <f t="shared" si="63"/>
        <v>2023</v>
      </c>
      <c r="AJ292" s="148">
        <f>SUM(S1_BaseRefNGNoHydro!$C16:$E16)</f>
        <v>140.4171614211802</v>
      </c>
      <c r="AK292" s="34">
        <f>MAX(SUM(S1_BaseRefNGNoHydro!$K16,-S1_BaseRefNGNoHydro!$N16,-S1_BaseRefNGNoHydro!$O16),0)</f>
        <v>52.904009999999992</v>
      </c>
      <c r="AL292" s="34">
        <f>S1_BaseRefNGNoHydro!$F16</f>
        <v>99.970249999999993</v>
      </c>
      <c r="AM292" s="34">
        <f>SUM(S1_BaseRefNGNoHydro!$G16,S1_BaseRefNGNoHydro!$L16:$M16)+AL292</f>
        <v>167.89758333333333</v>
      </c>
      <c r="AN292" s="313">
        <f>S1_BaseRefNGNoHydro!$P16</f>
        <v>33.333333333333329</v>
      </c>
      <c r="AO292" s="148">
        <f>SUM(S4_BaseRefNGHydro!$C16:$E16)</f>
        <v>140.4171614211802</v>
      </c>
      <c r="AP292" s="34">
        <f>MAX(SUM(S4_BaseRefNGHydro!$K16,-S4_BaseRefNGHydro!$N16,-S4_BaseRefNGHydro!$O16),0)</f>
        <v>45.659699999999994</v>
      </c>
      <c r="AQ292" s="34">
        <f>S4_BaseRefNGHydro!$F16</f>
        <v>99.970249999999993</v>
      </c>
      <c r="AR292" s="34">
        <f>SUM(S4_BaseRefNGHydro!$G16,S4_BaseRefNGHydro!$L16:$M16)+AQ292</f>
        <v>167.89758333333333</v>
      </c>
      <c r="AS292" s="313">
        <f>S4_BaseRefNGHydro!$P16</f>
        <v>33.333333333333329</v>
      </c>
      <c r="AT292" s="148">
        <f>SUM(S5_LowRefNGNoHydro!$C16:$E16)</f>
        <v>133.06690472791109</v>
      </c>
      <c r="AU292" s="34">
        <f>MAX(SUM(S5_LowRefNGNoHydro!$K16,-S5_LowRefNGNoHydro!$N16,-S5_LowRefNGNoHydro!$O16),0)</f>
        <v>48.767347966666669</v>
      </c>
      <c r="AV292" s="34">
        <f>S5_LowRefNGNoHydro!$F16</f>
        <v>99.970249999999993</v>
      </c>
      <c r="AW292" s="34">
        <f>SUM(S5_LowRefNGNoHydro!$G16,S5_LowRefNGNoHydro!$L16:$M16)+AV292</f>
        <v>167.89758333333333</v>
      </c>
      <c r="AX292" s="313">
        <f>S5_LowRefNGNoHydro!$P16</f>
        <v>29.166666666666664</v>
      </c>
      <c r="AY292" s="148">
        <f>SUM(S8_LowRefNGHydro!$C16:$E16)</f>
        <v>133.06690472791109</v>
      </c>
      <c r="AZ292" s="34">
        <f>MAX(SUM(S8_LowRefNGHydro!$K16,-S8_LowRefNGHydro!$N16,-S8_LowRefNGHydro!$O16),0)</f>
        <v>42.104467500000005</v>
      </c>
      <c r="BA292" s="34">
        <f>S8_LowRefNGHydro!$F16</f>
        <v>99.970249999999993</v>
      </c>
      <c r="BB292" s="34">
        <f>SUM(S8_LowRefNGHydro!$G16,S8_LowRefNGHydro!$L16:$M16)+BA292</f>
        <v>167.89758333333333</v>
      </c>
      <c r="BC292" s="313">
        <f>S8_LowRefNGHydro!$P16</f>
        <v>24.999999999999996</v>
      </c>
      <c r="BE292" s="369">
        <f>AL292*24/(RefTables!$F$10*1000)</f>
        <v>2.3476379647749512</v>
      </c>
    </row>
    <row r="293" spans="33:57" x14ac:dyDescent="0.35">
      <c r="AG293" s="187"/>
      <c r="AI293" s="113">
        <f t="shared" si="63"/>
        <v>2024</v>
      </c>
      <c r="AJ293" s="148">
        <f>SUM(S1_BaseRefNGNoHydro!$C17:$E17)</f>
        <v>139.95100685192952</v>
      </c>
      <c r="AK293" s="34">
        <f>MAX(SUM(S1_BaseRefNGNoHydro!$K17,-S1_BaseRefNGNoHydro!$N17,-S1_BaseRefNGNoHydro!$O17),0)</f>
        <v>55.142089999999996</v>
      </c>
      <c r="AL293" s="34">
        <f>S1_BaseRefNGNoHydro!$F17</f>
        <v>99.970249999999993</v>
      </c>
      <c r="AM293" s="34">
        <f>SUM(S1_BaseRefNGNoHydro!$G17,S1_BaseRefNGNoHydro!$L17:$M17)+AL293</f>
        <v>167.89758333333333</v>
      </c>
      <c r="AN293" s="313">
        <f>S1_BaseRefNGNoHydro!$P17</f>
        <v>33.333333333333329</v>
      </c>
      <c r="AO293" s="148">
        <f>SUM(S4_BaseRefNGHydro!$C17:$E17)</f>
        <v>139.95100685192952</v>
      </c>
      <c r="AP293" s="34">
        <f>MAX(SUM(S4_BaseRefNGHydro!$K17,-S4_BaseRefNGHydro!$N17,-S4_BaseRefNGHydro!$O17),0)</f>
        <v>51.418159999999993</v>
      </c>
      <c r="AQ293" s="34">
        <f>S4_BaseRefNGHydro!$F17</f>
        <v>99.970249999999993</v>
      </c>
      <c r="AR293" s="34">
        <f>SUM(S4_BaseRefNGHydro!$G17,S4_BaseRefNGHydro!$L17:$M17)+AQ293</f>
        <v>167.89758333333333</v>
      </c>
      <c r="AS293" s="313">
        <f>S4_BaseRefNGHydro!$P17</f>
        <v>33.333333333333329</v>
      </c>
      <c r="AT293" s="148">
        <f>SUM(S5_LowRefNGNoHydro!$C17:$E17)</f>
        <v>131.68437482019723</v>
      </c>
      <c r="AU293" s="34">
        <f>MAX(SUM(S5_LowRefNGNoHydro!$K17,-S5_LowRefNGNoHydro!$N17,-S5_LowRefNGNoHydro!$O17),0)</f>
        <v>50.909455399999999</v>
      </c>
      <c r="AV293" s="34">
        <f>S5_LowRefNGNoHydro!$F17</f>
        <v>99.970249999999993</v>
      </c>
      <c r="AW293" s="34">
        <f>SUM(S5_LowRefNGNoHydro!$G17,S5_LowRefNGNoHydro!$L17:$M17)+AV293</f>
        <v>167.89758333333333</v>
      </c>
      <c r="AX293" s="313">
        <f>S5_LowRefNGNoHydro!$P17</f>
        <v>29.166666666666664</v>
      </c>
      <c r="AY293" s="148">
        <f>SUM(S8_LowRefNGHydro!$C17:$E17)</f>
        <v>131.68437482019723</v>
      </c>
      <c r="AZ293" s="34">
        <f>MAX(SUM(S8_LowRefNGHydro!$K17,-S8_LowRefNGHydro!$N17,-S8_LowRefNGHydro!$O17),0)</f>
        <v>43.984651666666657</v>
      </c>
      <c r="BA293" s="34">
        <f>S8_LowRefNGHydro!$F17</f>
        <v>99.970249999999993</v>
      </c>
      <c r="BB293" s="34">
        <f>SUM(S8_LowRefNGHydro!$G17,S8_LowRefNGHydro!$L17:$M17)+BA293</f>
        <v>167.89758333333333</v>
      </c>
      <c r="BC293" s="313">
        <f>S8_LowRefNGHydro!$P17</f>
        <v>24.999999999999996</v>
      </c>
      <c r="BE293" s="369">
        <f>AL293*24/(RefTables!$F$10*1000)</f>
        <v>2.3476379647749512</v>
      </c>
    </row>
    <row r="294" spans="33:57" x14ac:dyDescent="0.35">
      <c r="AG294" s="187"/>
      <c r="AI294" s="113">
        <f t="shared" si="63"/>
        <v>2025</v>
      </c>
      <c r="AJ294" s="148">
        <f>SUM(S1_BaseRefNGNoHydro!$C18:$E18)</f>
        <v>139.55015451632687</v>
      </c>
      <c r="AK294" s="34">
        <f>MAX(SUM(S1_BaseRefNGNoHydro!$K18,-S1_BaseRefNGNoHydro!$N18,-S1_BaseRefNGNoHydro!$O18),0)</f>
        <v>53.308159999999994</v>
      </c>
      <c r="AL294" s="34">
        <f>S1_BaseRefNGNoHydro!$F18</f>
        <v>99.970249999999993</v>
      </c>
      <c r="AM294" s="34">
        <f>SUM(S1_BaseRefNGNoHydro!$G18,S1_BaseRefNGNoHydro!$L18:$M18)+AL294</f>
        <v>167.89758333333333</v>
      </c>
      <c r="AN294" s="313">
        <f>S1_BaseRefNGNoHydro!$P18</f>
        <v>33.333333333333329</v>
      </c>
      <c r="AO294" s="148">
        <f>SUM(S4_BaseRefNGHydro!$C18:$E18)</f>
        <v>139.55015451632687</v>
      </c>
      <c r="AP294" s="34">
        <f>MAX(SUM(S4_BaseRefNGHydro!$K18,-S4_BaseRefNGHydro!$N18,-S4_BaseRefNGHydro!$O18),0)</f>
        <v>50.925229999999999</v>
      </c>
      <c r="AQ294" s="34">
        <f>S4_BaseRefNGHydro!$F18</f>
        <v>99.970249999999993</v>
      </c>
      <c r="AR294" s="34">
        <f>SUM(S4_BaseRefNGHydro!$G18,S4_BaseRefNGHydro!$L18:$M18)+AQ294</f>
        <v>167.89758333333333</v>
      </c>
      <c r="AS294" s="313">
        <f>S4_BaseRefNGHydro!$P18</f>
        <v>33.333333333333329</v>
      </c>
      <c r="AT294" s="148">
        <f>SUM(S5_LowRefNGNoHydro!$C18:$E18)</f>
        <v>130.36714714613146</v>
      </c>
      <c r="AU294" s="34">
        <f>MAX(SUM(S5_LowRefNGNoHydro!$K18,-S5_LowRefNGNoHydro!$N18,-S5_LowRefNGNoHydro!$O18),0)</f>
        <v>48.423562833333328</v>
      </c>
      <c r="AV294" s="34">
        <f>S5_LowRefNGNoHydro!$F18</f>
        <v>99.970249999999993</v>
      </c>
      <c r="AW294" s="34">
        <f>SUM(S5_LowRefNGNoHydro!$G18,S5_LowRefNGNoHydro!$L18:$M18)+AV294</f>
        <v>167.89758333333333</v>
      </c>
      <c r="AX294" s="313">
        <f>S5_LowRefNGNoHydro!$P18</f>
        <v>29.166666666666664</v>
      </c>
      <c r="AY294" s="148">
        <f>SUM(S8_LowRefNGHydro!$C18:$E18)</f>
        <v>130.36714714613146</v>
      </c>
      <c r="AZ294" s="34">
        <f>MAX(SUM(S8_LowRefNGHydro!$K18,-S8_LowRefNGHydro!$N18,-S8_LowRefNGHydro!$O18),0)</f>
        <v>43.774365833333327</v>
      </c>
      <c r="BA294" s="34">
        <f>S8_LowRefNGHydro!$F18</f>
        <v>99.970249999999993</v>
      </c>
      <c r="BB294" s="34">
        <f>SUM(S8_LowRefNGHydro!$G18,S8_LowRefNGHydro!$L18:$M18)+BA294</f>
        <v>167.89758333333333</v>
      </c>
      <c r="BC294" s="313">
        <f>S8_LowRefNGHydro!$P18</f>
        <v>24.999999999999996</v>
      </c>
      <c r="BE294" s="369">
        <f>AL294*24/(RefTables!$F$10*1000)</f>
        <v>2.3476379647749512</v>
      </c>
    </row>
    <row r="295" spans="33:57" x14ac:dyDescent="0.35">
      <c r="AG295" s="187"/>
      <c r="AI295" s="113">
        <f t="shared" si="63"/>
        <v>2026</v>
      </c>
      <c r="AJ295" s="148">
        <f>SUM(S1_BaseRefNGNoHydro!$C19:$E19)</f>
        <v>139.17914038499944</v>
      </c>
      <c r="AK295" s="34">
        <f>MAX(SUM(S1_BaseRefNGNoHydro!$K19,-S1_BaseRefNGNoHydro!$N19,-S1_BaseRefNGNoHydro!$O19),0)</f>
        <v>53.308159999999994</v>
      </c>
      <c r="AL295" s="34">
        <f>S1_BaseRefNGNoHydro!$F19</f>
        <v>99.970249999999993</v>
      </c>
      <c r="AM295" s="34">
        <f>SUM(S1_BaseRefNGNoHydro!$G19,S1_BaseRefNGNoHydro!$L19:$M19)+AL295</f>
        <v>167.89758333333333</v>
      </c>
      <c r="AN295" s="313">
        <f>S1_BaseRefNGNoHydro!$P19</f>
        <v>33.333333333333329</v>
      </c>
      <c r="AO295" s="148">
        <f>SUM(S4_BaseRefNGHydro!$C19:$E19)</f>
        <v>139.17914038499944</v>
      </c>
      <c r="AP295" s="34">
        <f>MAX(SUM(S4_BaseRefNGHydro!$K19,-S4_BaseRefNGHydro!$N19,-S4_BaseRefNGHydro!$O19),0)</f>
        <v>52.815229999999993</v>
      </c>
      <c r="AQ295" s="34">
        <f>S4_BaseRefNGHydro!$F19</f>
        <v>99.970249999999993</v>
      </c>
      <c r="AR295" s="34">
        <f>SUM(S4_BaseRefNGHydro!$G19,S4_BaseRefNGHydro!$L19:$M19)+AQ295</f>
        <v>167.89758333333333</v>
      </c>
      <c r="AS295" s="313">
        <f>S4_BaseRefNGHydro!$P19</f>
        <v>33.333333333333329</v>
      </c>
      <c r="AT295" s="148">
        <f>SUM(S5_LowRefNGNoHydro!$C19:$E19)</f>
        <v>129.07975767634085</v>
      </c>
      <c r="AU295" s="34">
        <f>MAX(SUM(S5_LowRefNGNoHydro!$K19,-S5_LowRefNGNoHydro!$N19,-S5_LowRefNGNoHydro!$O19),0)</f>
        <v>47.827670266666665</v>
      </c>
      <c r="AV295" s="34">
        <f>S5_LowRefNGNoHydro!$F19</f>
        <v>99.970249999999993</v>
      </c>
      <c r="AW295" s="34">
        <f>SUM(S5_LowRefNGNoHydro!$G19,S5_LowRefNGNoHydro!$L19:$M19)+AV295</f>
        <v>167.89758333333333</v>
      </c>
      <c r="AX295" s="313">
        <f>S5_LowRefNGNoHydro!$P19</f>
        <v>29.166666666666664</v>
      </c>
      <c r="AY295" s="148">
        <f>SUM(S8_LowRefNGHydro!$C19:$E19)</f>
        <v>129.07975767634085</v>
      </c>
      <c r="AZ295" s="34">
        <f>MAX(SUM(S8_LowRefNGHydro!$K19,-S8_LowRefNGHydro!$N19,-S8_LowRefNGHydro!$O19),0)</f>
        <v>43.564079999999997</v>
      </c>
      <c r="BA295" s="34">
        <f>S8_LowRefNGHydro!$F19</f>
        <v>99.970249999999993</v>
      </c>
      <c r="BB295" s="34">
        <f>SUM(S8_LowRefNGHydro!$G19,S8_LowRefNGHydro!$L19:$M19)+BA295</f>
        <v>167.89758333333333</v>
      </c>
      <c r="BC295" s="313">
        <f>S8_LowRefNGHydro!$P19</f>
        <v>24.999999999999996</v>
      </c>
      <c r="BE295" s="369">
        <f>AL295*24/(RefTables!$F$10*1000)</f>
        <v>2.3476379647749512</v>
      </c>
    </row>
    <row r="296" spans="33:57" x14ac:dyDescent="0.35">
      <c r="AG296" s="187"/>
      <c r="AI296" s="113">
        <f t="shared" si="63"/>
        <v>2027</v>
      </c>
      <c r="AJ296" s="148">
        <f>SUM(S1_BaseRefNGNoHydro!$C20:$E20)</f>
        <v>138.98675505303009</v>
      </c>
      <c r="AK296" s="34">
        <f>MAX(SUM(S1_BaseRefNGNoHydro!$K20,-S1_BaseRefNGNoHydro!$N20,-S1_BaseRefNGNoHydro!$O20),0)</f>
        <v>55.878479999999996</v>
      </c>
      <c r="AL296" s="34">
        <f>S1_BaseRefNGNoHydro!$F20</f>
        <v>99.970249999999993</v>
      </c>
      <c r="AM296" s="34">
        <f>SUM(S1_BaseRefNGNoHydro!$G20,S1_BaseRefNGNoHydro!$L20:$M20)+AL296</f>
        <v>167.89758333333333</v>
      </c>
      <c r="AN296" s="313">
        <f>S1_BaseRefNGNoHydro!$P20</f>
        <v>33.333333333333329</v>
      </c>
      <c r="AO296" s="148">
        <f>SUM(S4_BaseRefNGHydro!$C20:$E20)</f>
        <v>138.98675505303009</v>
      </c>
      <c r="AP296" s="34">
        <f>MAX(SUM(S4_BaseRefNGHydro!$K20,-S4_BaseRefNGHydro!$N20,-S4_BaseRefNGHydro!$O20),0)</f>
        <v>47.825549999999993</v>
      </c>
      <c r="AQ296" s="34">
        <f>S4_BaseRefNGHydro!$F20</f>
        <v>99.970249999999993</v>
      </c>
      <c r="AR296" s="34">
        <f>SUM(S4_BaseRefNGHydro!$G20,S4_BaseRefNGHydro!$L20:$M20)+AQ296</f>
        <v>167.89758333333333</v>
      </c>
      <c r="AS296" s="313">
        <f>S4_BaseRefNGHydro!$P20</f>
        <v>33.333333333333329</v>
      </c>
      <c r="AT296" s="148">
        <f>SUM(S5_LowRefNGNoHydro!$C20:$E20)</f>
        <v>127.97099700590836</v>
      </c>
      <c r="AU296" s="34">
        <f>MAX(SUM(S5_LowRefNGNoHydro!$K20,-S5_LowRefNGNoHydro!$N20,-S5_LowRefNGNoHydro!$O20),0)</f>
        <v>47.912097699999997</v>
      </c>
      <c r="AV296" s="34">
        <f>S5_LowRefNGNoHydro!$F20</f>
        <v>99.970249999999993</v>
      </c>
      <c r="AW296" s="34">
        <f>SUM(S5_LowRefNGNoHydro!$G20,S5_LowRefNGNoHydro!$L20:$M20)+AV296</f>
        <v>167.89758333333333</v>
      </c>
      <c r="AX296" s="313">
        <f>S5_LowRefNGNoHydro!$P20</f>
        <v>29.166666666666664</v>
      </c>
      <c r="AY296" s="148">
        <f>SUM(S8_LowRefNGHydro!$C20:$E20)</f>
        <v>127.97099700590836</v>
      </c>
      <c r="AZ296" s="34">
        <f>MAX(SUM(S8_LowRefNGHydro!$K20,-S8_LowRefNGHydro!$N20,-S8_LowRefNGHydro!$O20),0)</f>
        <v>44.681644166666665</v>
      </c>
      <c r="BA296" s="34">
        <f>S8_LowRefNGHydro!$F20</f>
        <v>99.970249999999993</v>
      </c>
      <c r="BB296" s="34">
        <f>SUM(S8_LowRefNGHydro!$G20,S8_LowRefNGHydro!$L20:$M20)+BA296</f>
        <v>167.89758333333333</v>
      </c>
      <c r="BC296" s="313">
        <f>S8_LowRefNGHydro!$P20</f>
        <v>24.999999999999996</v>
      </c>
      <c r="BE296" s="369">
        <f>AL296*24/(RefTables!$F$10*1000)</f>
        <v>2.3476379647749512</v>
      </c>
    </row>
    <row r="297" spans="33:57" x14ac:dyDescent="0.35">
      <c r="AG297" s="187"/>
      <c r="AI297" s="113">
        <f t="shared" si="63"/>
        <v>2028</v>
      </c>
      <c r="AJ297" s="148">
        <f>SUM(S1_BaseRefNGNoHydro!$C21:$E21)</f>
        <v>138.77586013704433</v>
      </c>
      <c r="AK297" s="34">
        <f>MAX(SUM(S1_BaseRefNGNoHydro!$K21,-S1_BaseRefNGNoHydro!$N21,-S1_BaseRefNGNoHydro!$O21),0)</f>
        <v>60.070159999999987</v>
      </c>
      <c r="AL297" s="34">
        <f>S1_BaseRefNGNoHydro!$F21</f>
        <v>99.970249999999993</v>
      </c>
      <c r="AM297" s="34">
        <f>SUM(S1_BaseRefNGNoHydro!$G21,S1_BaseRefNGNoHydro!$L21:$M21)+AL297</f>
        <v>167.89758333333333</v>
      </c>
      <c r="AN297" s="313">
        <f>S1_BaseRefNGNoHydro!$P21</f>
        <v>37.499999999999993</v>
      </c>
      <c r="AO297" s="148">
        <f>SUM(S4_BaseRefNGHydro!$C21:$E21)</f>
        <v>138.77586013704433</v>
      </c>
      <c r="AP297" s="34">
        <f>MAX(SUM(S4_BaseRefNGHydro!$K21,-S4_BaseRefNGHydro!$N21,-S4_BaseRefNGHydro!$O21),0)</f>
        <v>52.017229999999998</v>
      </c>
      <c r="AQ297" s="34">
        <f>S4_BaseRefNGHydro!$F21</f>
        <v>99.970249999999993</v>
      </c>
      <c r="AR297" s="34">
        <f>SUM(S4_BaseRefNGHydro!$G21,S4_BaseRefNGHydro!$L21:$M21)+AQ297</f>
        <v>167.89758333333333</v>
      </c>
      <c r="AS297" s="313">
        <f>S4_BaseRefNGHydro!$P21</f>
        <v>33.333333333333329</v>
      </c>
      <c r="AT297" s="148">
        <f>SUM(S5_LowRefNGNoHydro!$C21:$E21)</f>
        <v>126.84372675145943</v>
      </c>
      <c r="AU297" s="34">
        <f>MAX(SUM(S5_LowRefNGNoHydro!$K21,-S5_LowRefNGNoHydro!$N21,-S5_LowRefNGNoHydro!$O21),0)</f>
        <v>51.014955133333338</v>
      </c>
      <c r="AV297" s="34">
        <f>S5_LowRefNGNoHydro!$F21</f>
        <v>99.970249999999993</v>
      </c>
      <c r="AW297" s="34">
        <f>SUM(S5_LowRefNGNoHydro!$G21,S5_LowRefNGNoHydro!$L21:$M21)+AV297</f>
        <v>167.89758333333333</v>
      </c>
      <c r="AX297" s="313">
        <f>S5_LowRefNGNoHydro!$P21</f>
        <v>29.166666666666664</v>
      </c>
      <c r="AY297" s="148">
        <f>SUM(S8_LowRefNGHydro!$C21:$E21)</f>
        <v>126.84372675145943</v>
      </c>
      <c r="AZ297" s="34">
        <f>MAX(SUM(S8_LowRefNGHydro!$K21,-S8_LowRefNGHydro!$N21,-S8_LowRefNGHydro!$O21),0)</f>
        <v>48.663038333333333</v>
      </c>
      <c r="BA297" s="34">
        <f>S8_LowRefNGHydro!$F21</f>
        <v>99.970249999999993</v>
      </c>
      <c r="BB297" s="34">
        <f>SUM(S8_LowRefNGHydro!$G21,S8_LowRefNGHydro!$L21:$M21)+BA297</f>
        <v>167.89758333333333</v>
      </c>
      <c r="BC297" s="313">
        <f>S8_LowRefNGHydro!$P21</f>
        <v>24.999999999999996</v>
      </c>
      <c r="BE297" s="369">
        <f>AL297*24/(RefTables!$F$10*1000)</f>
        <v>2.3476379647749512</v>
      </c>
    </row>
    <row r="298" spans="33:57" x14ac:dyDescent="0.35">
      <c r="AG298" s="187"/>
      <c r="AI298" s="113">
        <f t="shared" si="63"/>
        <v>2029</v>
      </c>
      <c r="AJ298" s="148">
        <f>SUM(S1_BaseRefNGNoHydro!$C22:$E22)</f>
        <v>138.70869191350175</v>
      </c>
      <c r="AK298" s="34">
        <f>MAX(SUM(S1_BaseRefNGNoHydro!$K22,-S1_BaseRefNGNoHydro!$N22,-S1_BaseRefNGNoHydro!$O22),0)</f>
        <v>60.070159999999987</v>
      </c>
      <c r="AL298" s="34">
        <f>S1_BaseRefNGNoHydro!$F22</f>
        <v>99.970249999999993</v>
      </c>
      <c r="AM298" s="34">
        <f>SUM(S1_BaseRefNGNoHydro!$G22,S1_BaseRefNGNoHydro!$L22:$M22)+AL298</f>
        <v>167.89758333333333</v>
      </c>
      <c r="AN298" s="313">
        <f>S1_BaseRefNGNoHydro!$P22</f>
        <v>37.499999999999993</v>
      </c>
      <c r="AO298" s="148">
        <f>SUM(S4_BaseRefNGHydro!$C22:$E22)</f>
        <v>138.70869191350175</v>
      </c>
      <c r="AP298" s="34">
        <f>MAX(SUM(S4_BaseRefNGHydro!$K22,-S4_BaseRefNGHydro!$N22,-S4_BaseRefNGHydro!$O22),0)</f>
        <v>53.907229999999998</v>
      </c>
      <c r="AQ298" s="34">
        <f>S4_BaseRefNGHydro!$F22</f>
        <v>99.970249999999993</v>
      </c>
      <c r="AR298" s="34">
        <f>SUM(S4_BaseRefNGHydro!$G22,S4_BaseRefNGHydro!$L22:$M22)+AQ298</f>
        <v>167.89758333333333</v>
      </c>
      <c r="AS298" s="313">
        <f>S4_BaseRefNGHydro!$P22</f>
        <v>33.333333333333329</v>
      </c>
      <c r="AT298" s="148">
        <f>SUM(S5_LowRefNGNoHydro!$C22:$E22)</f>
        <v>125.86018318945371</v>
      </c>
      <c r="AU298" s="34">
        <f>MAX(SUM(S5_LowRefNGNoHydro!$K22,-S5_LowRefNGNoHydro!$N22,-S5_LowRefNGNoHydro!$O22),0)</f>
        <v>52.801992566666655</v>
      </c>
      <c r="AV298" s="34">
        <f>S5_LowRefNGNoHydro!$F22</f>
        <v>99.970249999999993</v>
      </c>
      <c r="AW298" s="34">
        <f>SUM(S5_LowRefNGNoHydro!$G22,S5_LowRefNGNoHydro!$L22:$M22)+AV298</f>
        <v>167.89758333333333</v>
      </c>
      <c r="AX298" s="313">
        <f>S5_LowRefNGNoHydro!$P22</f>
        <v>29.166666666666664</v>
      </c>
      <c r="AY298" s="148">
        <f>SUM(S8_LowRefNGHydro!$C22:$E22)</f>
        <v>125.86018318945371</v>
      </c>
      <c r="AZ298" s="34">
        <f>MAX(SUM(S8_LowRefNGHydro!$K22,-S8_LowRefNGHydro!$N22,-S8_LowRefNGHydro!$O22),0)</f>
        <v>47.805222499999992</v>
      </c>
      <c r="BA298" s="34">
        <f>S8_LowRefNGHydro!$F22</f>
        <v>99.970249999999993</v>
      </c>
      <c r="BB298" s="34">
        <f>SUM(S8_LowRefNGHydro!$G22,S8_LowRefNGHydro!$L22:$M22)+BA298</f>
        <v>167.89758333333333</v>
      </c>
      <c r="BC298" s="313">
        <f>S8_LowRefNGHydro!$P22</f>
        <v>24.999999999999996</v>
      </c>
      <c r="BE298" s="369">
        <f>AL298*24/(RefTables!$F$10*1000)</f>
        <v>2.3476379647749512</v>
      </c>
    </row>
    <row r="299" spans="33:57" x14ac:dyDescent="0.35">
      <c r="AG299" s="187"/>
      <c r="AI299" s="113">
        <f t="shared" si="63"/>
        <v>2030</v>
      </c>
      <c r="AJ299" s="148">
        <f>SUM(S1_BaseRefNGNoHydro!$C23:$E23)</f>
        <v>138.68456008281441</v>
      </c>
      <c r="AK299" s="34">
        <f>MAX(SUM(S1_BaseRefNGNoHydro!$K23,-S1_BaseRefNGNoHydro!$N23,-S1_BaseRefNGNoHydro!$O23),0)</f>
        <v>60.978319999999989</v>
      </c>
      <c r="AL299" s="34">
        <f>S1_BaseRefNGNoHydro!$F23</f>
        <v>99.970249999999993</v>
      </c>
      <c r="AM299" s="34">
        <f>SUM(S1_BaseRefNGNoHydro!$G23,S1_BaseRefNGNoHydro!$L23:$M23)+AL299</f>
        <v>167.89758333333333</v>
      </c>
      <c r="AN299" s="313">
        <f>S1_BaseRefNGNoHydro!$P23</f>
        <v>37.499999999999993</v>
      </c>
      <c r="AO299" s="148">
        <f>SUM(S4_BaseRefNGHydro!$C23:$E23)</f>
        <v>138.68456008281441</v>
      </c>
      <c r="AP299" s="34">
        <f>MAX(SUM(S4_BaseRefNGHydro!$K23,-S4_BaseRefNGHydro!$N23,-S4_BaseRefNGHydro!$O23),0)</f>
        <v>52.017229999999998</v>
      </c>
      <c r="AQ299" s="34">
        <f>S4_BaseRefNGHydro!$F23</f>
        <v>99.970249999999993</v>
      </c>
      <c r="AR299" s="34">
        <f>SUM(S4_BaseRefNGHydro!$G23,S4_BaseRefNGHydro!$L23:$M23)+AQ299</f>
        <v>167.89758333333333</v>
      </c>
      <c r="AS299" s="313">
        <f>S4_BaseRefNGHydro!$P23</f>
        <v>33.333333333333329</v>
      </c>
      <c r="AT299" s="148">
        <f>SUM(S5_LowRefNGNoHydro!$C23:$E23)</f>
        <v>124.91967602030323</v>
      </c>
      <c r="AU299" s="34">
        <f>MAX(SUM(S5_LowRefNGNoHydro!$K23,-S5_LowRefNGNoHydro!$N23,-S5_LowRefNGNoHydro!$O23),0)</f>
        <v>46.043170000000003</v>
      </c>
      <c r="AV299" s="34">
        <f>S5_LowRefNGNoHydro!$F23</f>
        <v>99.970249999999993</v>
      </c>
      <c r="AW299" s="34">
        <f>SUM(S5_LowRefNGNoHydro!$G23,S5_LowRefNGNoHydro!$L23:$M23)+AV299</f>
        <v>167.89758333333333</v>
      </c>
      <c r="AX299" s="313">
        <f>S5_LowRefNGNoHydro!$P23</f>
        <v>29.166666666666664</v>
      </c>
      <c r="AY299" s="148">
        <f>SUM(S8_LowRefNGHydro!$C23:$E23)</f>
        <v>124.91967602030323</v>
      </c>
      <c r="AZ299" s="34">
        <f>MAX(SUM(S8_LowRefNGHydro!$K23,-S8_LowRefNGHydro!$N23,-S8_LowRefNGHydro!$O23),0)</f>
        <v>46.473246666666661</v>
      </c>
      <c r="BA299" s="34">
        <f>S8_LowRefNGHydro!$F23</f>
        <v>99.970249999999993</v>
      </c>
      <c r="BB299" s="34">
        <f>SUM(S8_LowRefNGHydro!$G23,S8_LowRefNGHydro!$L23:$M23)+BA299</f>
        <v>167.89758333333333</v>
      </c>
      <c r="BC299" s="313">
        <f>S8_LowRefNGHydro!$P23</f>
        <v>24.999999999999996</v>
      </c>
      <c r="BE299" s="369">
        <f>AL299*24/(RefTables!$F$10*1000)</f>
        <v>2.3476379647749512</v>
      </c>
    </row>
    <row r="300" spans="33:57" x14ac:dyDescent="0.35">
      <c r="AG300" s="187"/>
      <c r="AI300" s="113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</row>
    <row r="301" spans="33:57" x14ac:dyDescent="0.35">
      <c r="AG301" s="187"/>
      <c r="AI301" s="113"/>
      <c r="AJ301" s="412" t="s">
        <v>337</v>
      </c>
      <c r="AK301" s="413"/>
      <c r="AL301" s="413"/>
      <c r="AM301" s="413"/>
      <c r="AN301" s="414"/>
      <c r="AO301" s="412" t="s">
        <v>340</v>
      </c>
      <c r="AP301" s="413"/>
      <c r="AQ301" s="413"/>
      <c r="AR301" s="413"/>
      <c r="AS301" s="414"/>
      <c r="AT301" s="412" t="s">
        <v>341</v>
      </c>
      <c r="AU301" s="413"/>
      <c r="AV301" s="413"/>
      <c r="AW301" s="413"/>
      <c r="AX301" s="414"/>
      <c r="AY301" s="412" t="s">
        <v>344</v>
      </c>
      <c r="AZ301" s="413"/>
      <c r="BA301" s="413"/>
      <c r="BB301" s="413"/>
      <c r="BC301" s="414"/>
    </row>
    <row r="302" spans="33:57" x14ac:dyDescent="0.35">
      <c r="AG302" s="187"/>
      <c r="AJ302" s="311" t="s">
        <v>469</v>
      </c>
      <c r="AK302" s="78" t="s">
        <v>330</v>
      </c>
      <c r="AL302" s="78" t="s">
        <v>331</v>
      </c>
      <c r="AM302" s="78" t="s">
        <v>470</v>
      </c>
      <c r="AN302" s="312" t="s">
        <v>471</v>
      </c>
      <c r="AO302" s="311" t="s">
        <v>469</v>
      </c>
      <c r="AP302" s="78" t="s">
        <v>330</v>
      </c>
      <c r="AQ302" s="78" t="s">
        <v>331</v>
      </c>
      <c r="AR302" s="78" t="s">
        <v>470</v>
      </c>
      <c r="AS302" s="312" t="s">
        <v>471</v>
      </c>
      <c r="AT302" s="311" t="s">
        <v>469</v>
      </c>
      <c r="AU302" s="78" t="s">
        <v>330</v>
      </c>
      <c r="AV302" s="78" t="s">
        <v>331</v>
      </c>
      <c r="AW302" s="78" t="s">
        <v>470</v>
      </c>
      <c r="AX302" s="312" t="s">
        <v>471</v>
      </c>
      <c r="AY302" s="311" t="s">
        <v>469</v>
      </c>
      <c r="AZ302" s="78" t="s">
        <v>330</v>
      </c>
      <c r="BA302" s="78" t="s">
        <v>331</v>
      </c>
      <c r="BB302" s="78" t="s">
        <v>470</v>
      </c>
      <c r="BC302" s="312" t="s">
        <v>471</v>
      </c>
    </row>
    <row r="303" spans="33:57" x14ac:dyDescent="0.35">
      <c r="AG303" s="187"/>
      <c r="AI303" s="113">
        <v>2015</v>
      </c>
      <c r="AJ303" s="148"/>
      <c r="AK303" s="34"/>
      <c r="AL303" s="34"/>
      <c r="AM303" s="34"/>
      <c r="AN303" s="313"/>
      <c r="AO303" s="317">
        <f>IFERROR(AO284/$AJ284-1,0)</f>
        <v>0</v>
      </c>
      <c r="AP303" s="314">
        <f>IFERROR(AP284/$AK284-1,0)</f>
        <v>0</v>
      </c>
      <c r="AQ303" s="314"/>
      <c r="AR303" s="314"/>
      <c r="AS303" s="318">
        <f t="shared" ref="AS303:AS318" si="64">IFERROR(AS284/$AN284-1,0)</f>
        <v>0</v>
      </c>
      <c r="AT303" s="317">
        <f t="shared" ref="AT303:AT318" si="65">IFERROR(AT284/$AJ284-1,0)</f>
        <v>0</v>
      </c>
      <c r="AU303" s="314">
        <f t="shared" ref="AU303:AU318" si="66">IFERROR(AU284/$AK284-1,0)</f>
        <v>-2.011780989474854E-5</v>
      </c>
      <c r="AV303" s="314"/>
      <c r="AW303" s="314"/>
      <c r="AX303" s="318">
        <f t="shared" ref="AX303:AX318" si="67">IFERROR(AX284/$AN284-1,0)</f>
        <v>0</v>
      </c>
      <c r="AY303" s="317">
        <f t="shared" ref="AY303:AY318" si="68">IFERROR(AY284/$AJ284-1,0)</f>
        <v>0</v>
      </c>
      <c r="AZ303" s="314">
        <f t="shared" ref="AZ303:AZ318" si="69">IFERROR(AZ284/$AK284-1,0)</f>
        <v>-2.011780989474854E-5</v>
      </c>
      <c r="BA303" s="314"/>
      <c r="BB303" s="314"/>
      <c r="BC303" s="318">
        <f t="shared" ref="BC303:BC318" si="70">IFERROR(BC284/$AN284-1,0)</f>
        <v>0</v>
      </c>
    </row>
    <row r="304" spans="33:57" x14ac:dyDescent="0.35">
      <c r="AG304" s="187"/>
      <c r="AI304" s="113">
        <f>AI303+1</f>
        <v>2016</v>
      </c>
      <c r="AJ304" s="148"/>
      <c r="AK304" s="34"/>
      <c r="AL304" s="34"/>
      <c r="AM304" s="34"/>
      <c r="AN304" s="313"/>
      <c r="AO304" s="317">
        <f t="shared" ref="AO304:AO318" si="71">IFERROR(AO285/$AJ285-1,0)</f>
        <v>0</v>
      </c>
      <c r="AP304" s="314">
        <f t="shared" ref="AP304:AP318" si="72">IFERROR(AP285/$AK285-1,0)</f>
        <v>0</v>
      </c>
      <c r="AQ304" s="314"/>
      <c r="AR304" s="314"/>
      <c r="AS304" s="318">
        <f t="shared" si="64"/>
        <v>0</v>
      </c>
      <c r="AT304" s="317">
        <f t="shared" si="65"/>
        <v>-8.462341602682999E-3</v>
      </c>
      <c r="AU304" s="314">
        <f t="shared" si="66"/>
        <v>-2.1462816472905821E-4</v>
      </c>
      <c r="AV304" s="314"/>
      <c r="AW304" s="314"/>
      <c r="AX304" s="318">
        <f t="shared" si="67"/>
        <v>0</v>
      </c>
      <c r="AY304" s="317">
        <f t="shared" si="68"/>
        <v>-8.462341602682999E-3</v>
      </c>
      <c r="AZ304" s="314">
        <f t="shared" si="69"/>
        <v>-1.6271190767249699E-3</v>
      </c>
      <c r="BA304" s="314"/>
      <c r="BB304" s="314"/>
      <c r="BC304" s="318">
        <f t="shared" si="70"/>
        <v>0</v>
      </c>
    </row>
    <row r="305" spans="2:55" x14ac:dyDescent="0.35">
      <c r="AG305" s="187"/>
      <c r="AI305" s="113">
        <f t="shared" ref="AI305:AI318" si="73">AI304+1</f>
        <v>2017</v>
      </c>
      <c r="AJ305" s="148"/>
      <c r="AK305" s="34"/>
      <c r="AL305" s="34"/>
      <c r="AM305" s="34"/>
      <c r="AN305" s="313"/>
      <c r="AO305" s="317">
        <f t="shared" si="71"/>
        <v>0</v>
      </c>
      <c r="AP305" s="314">
        <f t="shared" si="72"/>
        <v>0</v>
      </c>
      <c r="AQ305" s="314"/>
      <c r="AR305" s="314"/>
      <c r="AS305" s="318">
        <f t="shared" si="64"/>
        <v>0</v>
      </c>
      <c r="AT305" s="317">
        <f t="shared" si="65"/>
        <v>-1.3619091896903024E-2</v>
      </c>
      <c r="AU305" s="314">
        <f t="shared" si="66"/>
        <v>-4.8588966378171339E-4</v>
      </c>
      <c r="AV305" s="314"/>
      <c r="AW305" s="314"/>
      <c r="AX305" s="318">
        <f t="shared" si="67"/>
        <v>0</v>
      </c>
      <c r="AY305" s="317">
        <f t="shared" si="68"/>
        <v>-1.3619091896903024E-2</v>
      </c>
      <c r="AZ305" s="314">
        <f t="shared" si="69"/>
        <v>-3.6835815193269061E-3</v>
      </c>
      <c r="BA305" s="314"/>
      <c r="BB305" s="314"/>
      <c r="BC305" s="318">
        <f t="shared" si="70"/>
        <v>0</v>
      </c>
    </row>
    <row r="306" spans="2:55" x14ac:dyDescent="0.35">
      <c r="AG306" s="187"/>
      <c r="AI306" s="113">
        <f t="shared" si="73"/>
        <v>2018</v>
      </c>
      <c r="AJ306" s="148"/>
      <c r="AK306" s="34"/>
      <c r="AL306" s="34"/>
      <c r="AM306" s="34"/>
      <c r="AN306" s="313"/>
      <c r="AO306" s="317">
        <f t="shared" si="71"/>
        <v>0</v>
      </c>
      <c r="AP306" s="314">
        <f t="shared" si="72"/>
        <v>-0.10193630137223098</v>
      </c>
      <c r="AQ306" s="314"/>
      <c r="AR306" s="314"/>
      <c r="AS306" s="318">
        <f t="shared" si="64"/>
        <v>0</v>
      </c>
      <c r="AT306" s="317">
        <f t="shared" si="65"/>
        <v>-1.9333501336349923E-2</v>
      </c>
      <c r="AU306" s="314">
        <f t="shared" si="66"/>
        <v>-2.4844271306921462E-2</v>
      </c>
      <c r="AV306" s="314"/>
      <c r="AW306" s="314"/>
      <c r="AX306" s="318">
        <f t="shared" si="67"/>
        <v>0</v>
      </c>
      <c r="AY306" s="317">
        <f t="shared" si="68"/>
        <v>-1.9333501336349923E-2</v>
      </c>
      <c r="AZ306" s="314">
        <f t="shared" si="69"/>
        <v>-0.17403509060044176</v>
      </c>
      <c r="BA306" s="314"/>
      <c r="BB306" s="314"/>
      <c r="BC306" s="318">
        <f t="shared" si="70"/>
        <v>0</v>
      </c>
    </row>
    <row r="307" spans="2:55" x14ac:dyDescent="0.35">
      <c r="AG307" s="187"/>
      <c r="AI307" s="113">
        <f t="shared" si="73"/>
        <v>2019</v>
      </c>
      <c r="AJ307" s="148"/>
      <c r="AK307" s="34"/>
      <c r="AL307" s="34"/>
      <c r="AM307" s="34"/>
      <c r="AN307" s="313"/>
      <c r="AO307" s="317">
        <f t="shared" si="71"/>
        <v>0</v>
      </c>
      <c r="AP307" s="314">
        <f t="shared" si="72"/>
        <v>-0.17486486293786496</v>
      </c>
      <c r="AQ307" s="314"/>
      <c r="AR307" s="314"/>
      <c r="AS307" s="318">
        <f t="shared" si="64"/>
        <v>0</v>
      </c>
      <c r="AT307" s="317">
        <f t="shared" si="65"/>
        <v>-2.5652905491226674E-2</v>
      </c>
      <c r="AU307" s="314">
        <f t="shared" si="66"/>
        <v>-0.17548147023962912</v>
      </c>
      <c r="AV307" s="314"/>
      <c r="AW307" s="314"/>
      <c r="AX307" s="318">
        <f t="shared" si="67"/>
        <v>0</v>
      </c>
      <c r="AY307" s="317">
        <f t="shared" si="68"/>
        <v>-2.5652905491226674E-2</v>
      </c>
      <c r="AZ307" s="314">
        <f t="shared" si="69"/>
        <v>-0.17953942885429641</v>
      </c>
      <c r="BA307" s="314"/>
      <c r="BB307" s="314"/>
      <c r="BC307" s="318">
        <f t="shared" si="70"/>
        <v>0</v>
      </c>
    </row>
    <row r="308" spans="2:55" x14ac:dyDescent="0.35">
      <c r="AG308" s="187"/>
      <c r="AI308" s="113">
        <f t="shared" si="73"/>
        <v>2020</v>
      </c>
      <c r="AJ308" s="148"/>
      <c r="AK308" s="34"/>
      <c r="AL308" s="34"/>
      <c r="AM308" s="34"/>
      <c r="AN308" s="313"/>
      <c r="AO308" s="317">
        <f t="shared" si="71"/>
        <v>0</v>
      </c>
      <c r="AP308" s="314">
        <f t="shared" si="72"/>
        <v>-8.4336778715101701E-3</v>
      </c>
      <c r="AQ308" s="314"/>
      <c r="AR308" s="314"/>
      <c r="AS308" s="318">
        <f t="shared" si="64"/>
        <v>0</v>
      </c>
      <c r="AT308" s="317">
        <f t="shared" si="65"/>
        <v>-3.2325095762010148E-2</v>
      </c>
      <c r="AU308" s="314">
        <f t="shared" si="66"/>
        <v>-8.7148004672271684E-3</v>
      </c>
      <c r="AV308" s="314"/>
      <c r="AW308" s="314"/>
      <c r="AX308" s="318">
        <f t="shared" si="67"/>
        <v>-0.125</v>
      </c>
      <c r="AY308" s="317">
        <f t="shared" si="68"/>
        <v>-3.2325095762010148E-2</v>
      </c>
      <c r="AZ308" s="314">
        <f t="shared" si="69"/>
        <v>-7.45015124820404E-2</v>
      </c>
      <c r="BA308" s="314"/>
      <c r="BB308" s="314"/>
      <c r="BC308" s="318">
        <f t="shared" si="70"/>
        <v>-0.25</v>
      </c>
    </row>
    <row r="309" spans="2:55" x14ac:dyDescent="0.35">
      <c r="AG309" s="187"/>
      <c r="AI309" s="113">
        <f t="shared" si="73"/>
        <v>2021</v>
      </c>
      <c r="AJ309" s="148"/>
      <c r="AK309" s="34"/>
      <c r="AL309" s="34"/>
      <c r="AM309" s="34"/>
      <c r="AN309" s="313"/>
      <c r="AO309" s="317">
        <f t="shared" si="71"/>
        <v>0</v>
      </c>
      <c r="AP309" s="314">
        <f t="shared" si="72"/>
        <v>0</v>
      </c>
      <c r="AQ309" s="314"/>
      <c r="AR309" s="314"/>
      <c r="AS309" s="318">
        <f t="shared" si="64"/>
        <v>0</v>
      </c>
      <c r="AT309" s="317">
        <f t="shared" si="65"/>
        <v>-3.8977449571887868E-2</v>
      </c>
      <c r="AU309" s="314">
        <f t="shared" si="66"/>
        <v>-1.1815961830128785E-2</v>
      </c>
      <c r="AV309" s="314"/>
      <c r="AW309" s="314"/>
      <c r="AX309" s="318">
        <f t="shared" si="67"/>
        <v>-0.125</v>
      </c>
      <c r="AY309" s="317">
        <f t="shared" si="68"/>
        <v>-3.8977449571887868E-2</v>
      </c>
      <c r="AZ309" s="314">
        <f t="shared" si="69"/>
        <v>-6.2852122560616008E-3</v>
      </c>
      <c r="BA309" s="314"/>
      <c r="BB309" s="314"/>
      <c r="BC309" s="318">
        <f t="shared" si="70"/>
        <v>-0.25</v>
      </c>
    </row>
    <row r="310" spans="2:55" x14ac:dyDescent="0.35">
      <c r="AG310" s="187"/>
      <c r="AI310" s="113">
        <f t="shared" si="73"/>
        <v>2022</v>
      </c>
      <c r="AJ310" s="148"/>
      <c r="AK310" s="34"/>
      <c r="AL310" s="34"/>
      <c r="AM310" s="34"/>
      <c r="AN310" s="313"/>
      <c r="AO310" s="317">
        <f t="shared" si="71"/>
        <v>0</v>
      </c>
      <c r="AP310" s="314">
        <f t="shared" si="72"/>
        <v>-3.0607022213123281E-2</v>
      </c>
      <c r="AQ310" s="314"/>
      <c r="AR310" s="314"/>
      <c r="AS310" s="318">
        <f t="shared" si="64"/>
        <v>0</v>
      </c>
      <c r="AT310" s="317">
        <f t="shared" si="65"/>
        <v>-4.5702213453633789E-2</v>
      </c>
      <c r="AU310" s="314">
        <f t="shared" si="66"/>
        <v>-4.4293775476938135E-2</v>
      </c>
      <c r="AV310" s="314"/>
      <c r="AW310" s="314"/>
      <c r="AX310" s="318">
        <f t="shared" si="67"/>
        <v>-0.125</v>
      </c>
      <c r="AY310" s="317">
        <f t="shared" si="68"/>
        <v>-4.5702213453633789E-2</v>
      </c>
      <c r="AZ310" s="314">
        <f t="shared" si="69"/>
        <v>-0.17940908136505085</v>
      </c>
      <c r="BA310" s="314"/>
      <c r="BB310" s="314"/>
      <c r="BC310" s="318">
        <f t="shared" si="70"/>
        <v>-0.25</v>
      </c>
    </row>
    <row r="311" spans="2:55" x14ac:dyDescent="0.35">
      <c r="AG311" s="187"/>
      <c r="AI311" s="113">
        <f t="shared" si="73"/>
        <v>2023</v>
      </c>
      <c r="AJ311" s="148"/>
      <c r="AK311" s="34"/>
      <c r="AL311" s="34"/>
      <c r="AM311" s="34"/>
      <c r="AN311" s="313"/>
      <c r="AO311" s="317">
        <f t="shared" si="71"/>
        <v>0</v>
      </c>
      <c r="AP311" s="314">
        <f t="shared" si="72"/>
        <v>-0.13693309826608602</v>
      </c>
      <c r="AQ311" s="314"/>
      <c r="AR311" s="314"/>
      <c r="AS311" s="318">
        <f t="shared" si="64"/>
        <v>0</v>
      </c>
      <c r="AT311" s="317">
        <f t="shared" si="65"/>
        <v>-5.2345857293198406E-2</v>
      </c>
      <c r="AU311" s="314">
        <f t="shared" si="66"/>
        <v>-7.8191842798557731E-2</v>
      </c>
      <c r="AV311" s="314"/>
      <c r="AW311" s="314"/>
      <c r="AX311" s="318">
        <f t="shared" si="67"/>
        <v>-0.125</v>
      </c>
      <c r="AY311" s="317">
        <f t="shared" si="68"/>
        <v>-5.2345857293198406E-2</v>
      </c>
      <c r="AZ311" s="314">
        <f t="shared" si="69"/>
        <v>-0.20413466767452959</v>
      </c>
      <c r="BA311" s="314"/>
      <c r="BB311" s="314"/>
      <c r="BC311" s="318">
        <f t="shared" si="70"/>
        <v>-0.25</v>
      </c>
    </row>
    <row r="312" spans="2:55" x14ac:dyDescent="0.35">
      <c r="AG312" s="187"/>
      <c r="AI312" s="113">
        <f t="shared" si="73"/>
        <v>2024</v>
      </c>
      <c r="AJ312" s="148"/>
      <c r="AK312" s="34"/>
      <c r="AL312" s="34"/>
      <c r="AM312" s="34"/>
      <c r="AN312" s="313"/>
      <c r="AO312" s="317">
        <f t="shared" si="71"/>
        <v>0</v>
      </c>
      <c r="AP312" s="314">
        <f t="shared" si="72"/>
        <v>-6.7533348844775465E-2</v>
      </c>
      <c r="AQ312" s="314"/>
      <c r="AR312" s="314"/>
      <c r="AS312" s="318">
        <f t="shared" si="64"/>
        <v>0</v>
      </c>
      <c r="AT312" s="317">
        <f t="shared" si="65"/>
        <v>-5.9068042579204283E-2</v>
      </c>
      <c r="AU312" s="314">
        <f t="shared" si="66"/>
        <v>-7.6758690140326546E-2</v>
      </c>
      <c r="AV312" s="314"/>
      <c r="AW312" s="314"/>
      <c r="AX312" s="318">
        <f t="shared" si="67"/>
        <v>-0.125</v>
      </c>
      <c r="AY312" s="317">
        <f t="shared" si="68"/>
        <v>-5.9068042579204283E-2</v>
      </c>
      <c r="AZ312" s="314">
        <f t="shared" si="69"/>
        <v>-0.20233977952836646</v>
      </c>
      <c r="BA312" s="314"/>
      <c r="BB312" s="314"/>
      <c r="BC312" s="318">
        <f t="shared" si="70"/>
        <v>-0.25</v>
      </c>
    </row>
    <row r="313" spans="2:55" x14ac:dyDescent="0.35">
      <c r="AG313" s="187"/>
      <c r="AI313" s="113">
        <f t="shared" si="73"/>
        <v>2025</v>
      </c>
      <c r="AJ313" s="148"/>
      <c r="AK313" s="34"/>
      <c r="AL313" s="34"/>
      <c r="AM313" s="34"/>
      <c r="AN313" s="313"/>
      <c r="AO313" s="317">
        <f t="shared" si="71"/>
        <v>0</v>
      </c>
      <c r="AP313" s="314">
        <f t="shared" si="72"/>
        <v>-4.4701036389175552E-2</v>
      </c>
      <c r="AQ313" s="314"/>
      <c r="AR313" s="314"/>
      <c r="AS313" s="318">
        <f t="shared" si="64"/>
        <v>0</v>
      </c>
      <c r="AT313" s="317">
        <f t="shared" si="65"/>
        <v>-6.5804351145458795E-2</v>
      </c>
      <c r="AU313" s="314">
        <f t="shared" si="66"/>
        <v>-9.1629445973499535E-2</v>
      </c>
      <c r="AV313" s="314"/>
      <c r="AW313" s="314"/>
      <c r="AX313" s="318">
        <f t="shared" si="67"/>
        <v>-0.125</v>
      </c>
      <c r="AY313" s="317">
        <f t="shared" si="68"/>
        <v>-6.5804351145458795E-2</v>
      </c>
      <c r="AZ313" s="314">
        <f t="shared" si="69"/>
        <v>-0.17884305454674609</v>
      </c>
      <c r="BA313" s="314"/>
      <c r="BB313" s="314"/>
      <c r="BC313" s="318">
        <f t="shared" si="70"/>
        <v>-0.25</v>
      </c>
    </row>
    <row r="314" spans="2:55" x14ac:dyDescent="0.35">
      <c r="AG314" s="187"/>
      <c r="AI314" s="113">
        <f t="shared" si="73"/>
        <v>2026</v>
      </c>
      <c r="AJ314" s="148"/>
      <c r="AK314" s="34"/>
      <c r="AL314" s="34"/>
      <c r="AM314" s="34"/>
      <c r="AN314" s="313"/>
      <c r="AO314" s="317">
        <f t="shared" si="71"/>
        <v>0</v>
      </c>
      <c r="AP314" s="314">
        <f t="shared" si="72"/>
        <v>-9.2468019905395105E-3</v>
      </c>
      <c r="AQ314" s="314"/>
      <c r="AR314" s="314"/>
      <c r="AS314" s="318">
        <f t="shared" si="64"/>
        <v>0</v>
      </c>
      <c r="AT314" s="317">
        <f t="shared" si="65"/>
        <v>-7.2563910660186082E-2</v>
      </c>
      <c r="AU314" s="314">
        <f t="shared" si="66"/>
        <v>-0.10280770773805226</v>
      </c>
      <c r="AV314" s="314"/>
      <c r="AW314" s="314"/>
      <c r="AX314" s="318">
        <f t="shared" si="67"/>
        <v>-0.125</v>
      </c>
      <c r="AY314" s="317">
        <f t="shared" si="68"/>
        <v>-7.2563910660186082E-2</v>
      </c>
      <c r="AZ314" s="314">
        <f t="shared" si="69"/>
        <v>-0.18278777583019179</v>
      </c>
      <c r="BA314" s="314"/>
      <c r="BB314" s="314"/>
      <c r="BC314" s="318">
        <f t="shared" si="70"/>
        <v>-0.25</v>
      </c>
    </row>
    <row r="315" spans="2:55" x14ac:dyDescent="0.35">
      <c r="AG315" s="187"/>
      <c r="AI315" s="113">
        <f t="shared" si="73"/>
        <v>2027</v>
      </c>
      <c r="AJ315" s="148"/>
      <c r="AK315" s="34"/>
      <c r="AL315" s="34"/>
      <c r="AM315" s="34"/>
      <c r="AN315" s="313"/>
      <c r="AO315" s="317">
        <f t="shared" si="71"/>
        <v>0</v>
      </c>
      <c r="AP315" s="314">
        <f t="shared" si="72"/>
        <v>-0.14411505108943556</v>
      </c>
      <c r="AQ315" s="314"/>
      <c r="AR315" s="314"/>
      <c r="AS315" s="318">
        <f t="shared" si="64"/>
        <v>0</v>
      </c>
      <c r="AT315" s="317">
        <f t="shared" si="65"/>
        <v>-7.9257610143633417E-2</v>
      </c>
      <c r="AU315" s="314">
        <f t="shared" si="66"/>
        <v>-0.14256619542979698</v>
      </c>
      <c r="AV315" s="314"/>
      <c r="AW315" s="314"/>
      <c r="AX315" s="318">
        <f t="shared" si="67"/>
        <v>-0.125</v>
      </c>
      <c r="AY315" s="317">
        <f t="shared" si="68"/>
        <v>-7.9257610143633417E-2</v>
      </c>
      <c r="AZ315" s="314">
        <f t="shared" si="69"/>
        <v>-0.20037831797381267</v>
      </c>
      <c r="BA315" s="314"/>
      <c r="BB315" s="314"/>
      <c r="BC315" s="318">
        <f t="shared" si="70"/>
        <v>-0.25</v>
      </c>
    </row>
    <row r="316" spans="2:55" x14ac:dyDescent="0.35">
      <c r="AG316" s="187"/>
      <c r="AI316" s="113">
        <f t="shared" si="73"/>
        <v>2028</v>
      </c>
      <c r="AJ316" s="148"/>
      <c r="AK316" s="34"/>
      <c r="AL316" s="34"/>
      <c r="AM316" s="34"/>
      <c r="AN316" s="313"/>
      <c r="AO316" s="317">
        <f t="shared" si="71"/>
        <v>0</v>
      </c>
      <c r="AP316" s="314">
        <f t="shared" si="72"/>
        <v>-0.13405874064593781</v>
      </c>
      <c r="AQ316" s="314"/>
      <c r="AR316" s="314"/>
      <c r="AS316" s="318">
        <f t="shared" si="64"/>
        <v>-0.11111111111111105</v>
      </c>
      <c r="AT316" s="317">
        <f t="shared" si="65"/>
        <v>-8.5981332587682369E-2</v>
      </c>
      <c r="AU316" s="314">
        <f t="shared" si="66"/>
        <v>-0.15074381134770831</v>
      </c>
      <c r="AV316" s="314"/>
      <c r="AW316" s="314"/>
      <c r="AX316" s="318">
        <f t="shared" si="67"/>
        <v>-0.2222222222222221</v>
      </c>
      <c r="AY316" s="317">
        <f t="shared" si="68"/>
        <v>-8.5981332587682369E-2</v>
      </c>
      <c r="AZ316" s="314">
        <f t="shared" si="69"/>
        <v>-0.18989664197109946</v>
      </c>
      <c r="BA316" s="314"/>
      <c r="BB316" s="314"/>
      <c r="BC316" s="318">
        <f t="shared" si="70"/>
        <v>-0.33333333333333326</v>
      </c>
    </row>
    <row r="317" spans="2:55" x14ac:dyDescent="0.35">
      <c r="AG317" s="187"/>
      <c r="AI317" s="113">
        <f t="shared" si="73"/>
        <v>2029</v>
      </c>
      <c r="AJ317" s="148"/>
      <c r="AK317" s="34"/>
      <c r="AL317" s="34"/>
      <c r="AM317" s="34"/>
      <c r="AN317" s="313"/>
      <c r="AO317" s="317">
        <f t="shared" si="71"/>
        <v>0</v>
      </c>
      <c r="AP317" s="314">
        <f t="shared" si="72"/>
        <v>-0.10259553162501966</v>
      </c>
      <c r="AQ317" s="314"/>
      <c r="AR317" s="314"/>
      <c r="AS317" s="318">
        <f t="shared" si="64"/>
        <v>-0.11111111111111105</v>
      </c>
      <c r="AT317" s="317">
        <f t="shared" si="65"/>
        <v>-9.2629441939084289E-2</v>
      </c>
      <c r="AU317" s="314">
        <f t="shared" si="66"/>
        <v>-0.12099464082222078</v>
      </c>
      <c r="AV317" s="314"/>
      <c r="AW317" s="314"/>
      <c r="AX317" s="318">
        <f t="shared" si="67"/>
        <v>-0.2222222222222221</v>
      </c>
      <c r="AY317" s="317">
        <f t="shared" si="68"/>
        <v>-9.2629441939084289E-2</v>
      </c>
      <c r="AZ317" s="314">
        <f t="shared" si="69"/>
        <v>-0.2041768741751312</v>
      </c>
      <c r="BA317" s="314"/>
      <c r="BB317" s="314"/>
      <c r="BC317" s="318">
        <f t="shared" si="70"/>
        <v>-0.33333333333333326</v>
      </c>
    </row>
    <row r="318" spans="2:55" x14ac:dyDescent="0.35">
      <c r="AG318" s="187"/>
      <c r="AI318" s="113">
        <f t="shared" si="73"/>
        <v>2030</v>
      </c>
      <c r="AJ318" s="148"/>
      <c r="AK318" s="34"/>
      <c r="AL318" s="34"/>
      <c r="AM318" s="34"/>
      <c r="AN318" s="313"/>
      <c r="AO318" s="317">
        <f t="shared" si="71"/>
        <v>0</v>
      </c>
      <c r="AP318" s="314">
        <f t="shared" si="72"/>
        <v>-0.14695534412886402</v>
      </c>
      <c r="AQ318" s="314"/>
      <c r="AR318" s="314"/>
      <c r="AS318" s="318">
        <f t="shared" si="64"/>
        <v>-0.11111111111111105</v>
      </c>
      <c r="AT318" s="317">
        <f t="shared" si="65"/>
        <v>-9.9253183298065761E-2</v>
      </c>
      <c r="AU318" s="314">
        <f t="shared" si="66"/>
        <v>-0.24492557354810673</v>
      </c>
      <c r="AV318" s="314"/>
      <c r="AW318" s="314"/>
      <c r="AX318" s="318">
        <f t="shared" si="67"/>
        <v>-0.2222222222222221</v>
      </c>
      <c r="AY318" s="317">
        <f t="shared" si="68"/>
        <v>-9.9253183298065761E-2</v>
      </c>
      <c r="AZ318" s="314">
        <f t="shared" si="69"/>
        <v>-0.23787262970402157</v>
      </c>
      <c r="BA318" s="314"/>
      <c r="BB318" s="314"/>
      <c r="BC318" s="318">
        <f t="shared" si="70"/>
        <v>-0.33333333333333326</v>
      </c>
    </row>
    <row r="319" spans="2:55" x14ac:dyDescent="0.35">
      <c r="AG319" s="187"/>
      <c r="AI319" s="113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</row>
    <row r="320" spans="2:55" x14ac:dyDescent="0.35">
      <c r="B320" s="292"/>
      <c r="C320" s="293"/>
      <c r="D320" t="s">
        <v>523</v>
      </c>
      <c r="AG320" s="187"/>
      <c r="AI320" s="113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</row>
    <row r="321" spans="2:55" x14ac:dyDescent="0.35">
      <c r="B321" s="294"/>
      <c r="C321" s="295"/>
      <c r="D321" t="s">
        <v>524</v>
      </c>
      <c r="AG321" s="187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</row>
    <row r="322" spans="2:55" ht="8.85" customHeight="1" thickBot="1" x14ac:dyDescent="0.4">
      <c r="B322" s="298"/>
      <c r="C322" s="298"/>
      <c r="D322" s="411" t="s">
        <v>564</v>
      </c>
      <c r="E322" s="411"/>
      <c r="F322" s="411"/>
      <c r="G322" s="411"/>
      <c r="H322" s="411"/>
      <c r="I322" s="411"/>
      <c r="J322" s="411"/>
      <c r="K322" s="411"/>
      <c r="L322" s="411"/>
      <c r="M322" s="411"/>
      <c r="N322" s="411"/>
      <c r="O322" s="411"/>
      <c r="P322" s="411"/>
      <c r="Q322" s="411"/>
      <c r="R322" s="411"/>
      <c r="S322" s="411"/>
      <c r="T322" s="411"/>
      <c r="U322" s="411"/>
      <c r="V322" s="411"/>
      <c r="W322" s="411"/>
      <c r="X322" s="411"/>
      <c r="Y322" s="411"/>
      <c r="Z322" s="411"/>
      <c r="AA322" s="411"/>
      <c r="AB322" s="411"/>
      <c r="AC322" s="411"/>
      <c r="AD322" s="411"/>
      <c r="AE322" s="411"/>
      <c r="AG322" s="187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</row>
    <row r="323" spans="2:55" ht="8.85" customHeight="1" x14ac:dyDescent="0.35">
      <c r="B323" s="299"/>
      <c r="C323" s="299"/>
      <c r="D323" s="411"/>
      <c r="E323" s="411"/>
      <c r="F323" s="411"/>
      <c r="G323" s="411"/>
      <c r="H323" s="411"/>
      <c r="I323" s="411"/>
      <c r="J323" s="411"/>
      <c r="K323" s="411"/>
      <c r="L323" s="411"/>
      <c r="M323" s="411"/>
      <c r="N323" s="411"/>
      <c r="O323" s="411"/>
      <c r="P323" s="411"/>
      <c r="Q323" s="411"/>
      <c r="R323" s="411"/>
      <c r="S323" s="411"/>
      <c r="T323" s="411"/>
      <c r="U323" s="411"/>
      <c r="V323" s="411"/>
      <c r="W323" s="411"/>
      <c r="X323" s="411"/>
      <c r="Y323" s="411"/>
      <c r="Z323" s="411"/>
      <c r="AA323" s="411"/>
      <c r="AB323" s="411"/>
      <c r="AC323" s="411"/>
      <c r="AD323" s="411"/>
      <c r="AE323" s="411"/>
      <c r="AG323" s="187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</row>
    <row r="324" spans="2:55" ht="8.85" customHeight="1" thickBot="1" x14ac:dyDescent="0.4">
      <c r="B324" s="296"/>
      <c r="C324" s="296"/>
      <c r="D324" s="411" t="s">
        <v>565</v>
      </c>
      <c r="E324" s="411"/>
      <c r="F324" s="411"/>
      <c r="G324" s="411"/>
      <c r="H324" s="411"/>
      <c r="I324" s="411"/>
      <c r="J324" s="411"/>
      <c r="K324" s="411"/>
      <c r="L324" s="411"/>
      <c r="M324" s="411"/>
      <c r="N324" s="411"/>
      <c r="O324" s="411"/>
      <c r="P324" s="411"/>
      <c r="Q324" s="411"/>
      <c r="R324" s="411"/>
      <c r="S324" s="411"/>
      <c r="T324" s="411"/>
      <c r="U324" s="411"/>
      <c r="V324" s="411"/>
      <c r="W324" s="411"/>
      <c r="X324" s="411"/>
      <c r="Y324" s="411"/>
      <c r="Z324" s="411"/>
      <c r="AA324" s="411"/>
      <c r="AB324" s="411"/>
      <c r="AC324" s="411"/>
      <c r="AD324" s="411"/>
      <c r="AE324" s="411"/>
      <c r="AG324" s="187"/>
      <c r="AI324" s="113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</row>
    <row r="325" spans="2:55" ht="8.85" customHeight="1" x14ac:dyDescent="0.35">
      <c r="B325" s="297"/>
      <c r="C325" s="297"/>
      <c r="D325" s="411"/>
      <c r="E325" s="411"/>
      <c r="F325" s="411"/>
      <c r="G325" s="411"/>
      <c r="H325" s="411"/>
      <c r="I325" s="411"/>
      <c r="J325" s="411"/>
      <c r="K325" s="411"/>
      <c r="L325" s="411"/>
      <c r="M325" s="411"/>
      <c r="N325" s="411"/>
      <c r="O325" s="411"/>
      <c r="P325" s="411"/>
      <c r="Q325" s="411"/>
      <c r="R325" s="411"/>
      <c r="S325" s="411"/>
      <c r="T325" s="411"/>
      <c r="U325" s="411"/>
      <c r="V325" s="411"/>
      <c r="W325" s="411"/>
      <c r="X325" s="411"/>
      <c r="Y325" s="411"/>
      <c r="Z325" s="411"/>
      <c r="AA325" s="411"/>
      <c r="AB325" s="411"/>
      <c r="AC325" s="411"/>
      <c r="AD325" s="411"/>
      <c r="AE325" s="411"/>
      <c r="AG325" s="187"/>
      <c r="AI325" s="113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</row>
    <row r="326" spans="2:55" x14ac:dyDescent="0.35">
      <c r="AG326" s="187"/>
      <c r="AI326" s="113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</row>
    <row r="327" spans="2:55" x14ac:dyDescent="0.35">
      <c r="AG327" s="187"/>
      <c r="AI327" s="113"/>
      <c r="AJ327" s="34"/>
      <c r="AK327" s="34"/>
      <c r="AL327" s="34"/>
      <c r="AM327" s="34"/>
      <c r="AN327" s="34"/>
      <c r="AO327" s="34"/>
      <c r="AP327" s="34"/>
      <c r="AQ327" s="34"/>
      <c r="AR327" s="34"/>
      <c r="AS327" s="416" t="s">
        <v>606</v>
      </c>
      <c r="AT327" s="416"/>
      <c r="AU327" s="34"/>
      <c r="AV327" s="34"/>
      <c r="AW327" s="34"/>
      <c r="AX327" s="34"/>
      <c r="AY327" s="34"/>
      <c r="AZ327" s="34"/>
      <c r="BA327" s="34"/>
      <c r="BB327" s="34"/>
      <c r="BC327" s="34"/>
    </row>
    <row r="328" spans="2:55" x14ac:dyDescent="0.35">
      <c r="AG328" s="187"/>
      <c r="AI328" s="246" t="s">
        <v>332</v>
      </c>
      <c r="AJ328" t="str">
        <f t="shared" ref="AJ328:AQ328" si="74">AJ129</f>
        <v>Scen 1</v>
      </c>
      <c r="AK328" t="str">
        <f t="shared" si="74"/>
        <v>Scen 2</v>
      </c>
      <c r="AL328" t="str">
        <f t="shared" si="74"/>
        <v>Scen 3</v>
      </c>
      <c r="AM328" t="str">
        <f t="shared" si="74"/>
        <v>Scen 4</v>
      </c>
      <c r="AN328" t="str">
        <f t="shared" si="74"/>
        <v>Scen 5</v>
      </c>
      <c r="AO328" t="str">
        <f t="shared" si="74"/>
        <v>Scen 6</v>
      </c>
      <c r="AP328" t="str">
        <f t="shared" si="74"/>
        <v>Scen 7</v>
      </c>
      <c r="AQ328" t="str">
        <f t="shared" si="74"/>
        <v>Scen 8</v>
      </c>
      <c r="AR328" s="34"/>
      <c r="AS328" s="34" t="s">
        <v>604</v>
      </c>
      <c r="AT328" s="34" t="s">
        <v>605</v>
      </c>
      <c r="AU328" s="34"/>
      <c r="AV328" s="34"/>
      <c r="AW328" s="34"/>
      <c r="AX328" s="34"/>
      <c r="AY328" s="34"/>
      <c r="AZ328" s="34"/>
      <c r="BA328" s="34"/>
      <c r="BB328" s="34"/>
      <c r="BC328" s="34"/>
    </row>
    <row r="329" spans="2:55" x14ac:dyDescent="0.35">
      <c r="AG329" s="187"/>
      <c r="AI329" s="113">
        <v>2020</v>
      </c>
      <c r="AJ329" s="34">
        <f ca="1">INDIRECT(AJ$2&amp;"!P13")</f>
        <v>33.333333333333329</v>
      </c>
      <c r="AK329" s="34">
        <f t="shared" ref="AK329:AQ329" ca="1" si="75">INDIRECT(AK$2&amp;"!P13")</f>
        <v>33.333333333333329</v>
      </c>
      <c r="AL329" s="34">
        <f t="shared" ca="1" si="75"/>
        <v>33.333333333333329</v>
      </c>
      <c r="AM329" s="34">
        <f t="shared" ca="1" si="75"/>
        <v>33.333333333333329</v>
      </c>
      <c r="AN329" s="34">
        <f t="shared" ca="1" si="75"/>
        <v>29.166666666666664</v>
      </c>
      <c r="AO329" s="34">
        <f t="shared" ca="1" si="75"/>
        <v>29.166666666666664</v>
      </c>
      <c r="AP329" s="34">
        <f t="shared" ca="1" si="75"/>
        <v>24.999999999999996</v>
      </c>
      <c r="AQ329" s="34">
        <f t="shared" ca="1" si="75"/>
        <v>24.999999999999996</v>
      </c>
      <c r="AR329" s="34"/>
      <c r="AS329" s="366">
        <f ca="1">MIN($AJ329:$AQ329)*24/(RefTables!$F$10*1000)</f>
        <v>0.5870841487279842</v>
      </c>
      <c r="AT329" s="366">
        <f ca="1">MAX($AJ329:$AQ329)*24/(RefTables!$F$10*1000)</f>
        <v>0.78277886497064564</v>
      </c>
      <c r="AU329" s="34"/>
      <c r="AV329" s="34"/>
      <c r="AW329" s="34"/>
      <c r="AX329" s="34"/>
      <c r="AY329" s="34"/>
      <c r="AZ329" s="34"/>
      <c r="BA329" s="34"/>
      <c r="BB329" s="34"/>
    </row>
    <row r="330" spans="2:55" x14ac:dyDescent="0.35">
      <c r="AG330" s="187"/>
      <c r="AI330" s="113">
        <v>2030</v>
      </c>
      <c r="AJ330" s="34">
        <f ca="1">INDIRECT(AJ$2&amp;"!P23")</f>
        <v>37.499999999999993</v>
      </c>
      <c r="AK330" s="34">
        <f t="shared" ref="AK330:AQ330" ca="1" si="76">INDIRECT(AK$2&amp;"!P23")</f>
        <v>37.499999999999993</v>
      </c>
      <c r="AL330" s="34">
        <f t="shared" ca="1" si="76"/>
        <v>37.499999999999993</v>
      </c>
      <c r="AM330" s="34">
        <f t="shared" ca="1" si="76"/>
        <v>33.333333333333329</v>
      </c>
      <c r="AN330" s="34">
        <f t="shared" ca="1" si="76"/>
        <v>29.166666666666664</v>
      </c>
      <c r="AO330" s="34">
        <f t="shared" ca="1" si="76"/>
        <v>29.166666666666664</v>
      </c>
      <c r="AP330" s="34">
        <f t="shared" ca="1" si="76"/>
        <v>24.999999999999996</v>
      </c>
      <c r="AQ330" s="34">
        <f t="shared" ca="1" si="76"/>
        <v>24.999999999999996</v>
      </c>
      <c r="AR330" s="34"/>
      <c r="AS330" s="366">
        <f ca="1">MIN($AJ330:$AQ330)*24/(RefTables!$F$10*1000)</f>
        <v>0.5870841487279842</v>
      </c>
      <c r="AT330" s="366">
        <f ca="1">MAX($AJ330:$AQ330)*24/(RefTables!$F$10*1000)</f>
        <v>0.88062622309197625</v>
      </c>
      <c r="AU330" s="34"/>
      <c r="AV330" s="34"/>
      <c r="AW330" s="34"/>
      <c r="AX330" s="34"/>
      <c r="AY330" s="34"/>
      <c r="AZ330" s="34"/>
      <c r="BA330" s="34"/>
      <c r="BB330" s="34"/>
    </row>
    <row r="331" spans="2:55" x14ac:dyDescent="0.35">
      <c r="AG331" s="187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</row>
    <row r="332" spans="2:55" x14ac:dyDescent="0.35">
      <c r="AG332" s="187"/>
      <c r="AI332" s="34"/>
      <c r="AJ332" s="405">
        <f ca="1">AJ329*24/(RefTables!$F$10*1000)</f>
        <v>0.78277886497064564</v>
      </c>
      <c r="AK332" s="405">
        <f ca="1">AK329*24/(RefTables!$F$10*1000)</f>
        <v>0.78277886497064564</v>
      </c>
      <c r="AL332" s="405">
        <f ca="1">AL329*24/(RefTables!$F$10*1000)</f>
        <v>0.78277886497064564</v>
      </c>
      <c r="AM332" s="405">
        <f ca="1">AM329*24/(RefTables!$F$10*1000)</f>
        <v>0.78277886497064564</v>
      </c>
      <c r="AN332" s="405">
        <f ca="1">AN329*24/(RefTables!$F$10*1000)</f>
        <v>0.68493150684931503</v>
      </c>
      <c r="AO332" s="405">
        <f ca="1">AO329*24/(RefTables!$F$10*1000)</f>
        <v>0.68493150684931503</v>
      </c>
      <c r="AP332" s="405">
        <f ca="1">AP329*24/(RefTables!$F$10*1000)</f>
        <v>0.5870841487279842</v>
      </c>
      <c r="AQ332" s="405">
        <f ca="1">AQ329*24/(RefTables!$F$10*1000)</f>
        <v>0.5870841487279842</v>
      </c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</row>
    <row r="333" spans="2:55" x14ac:dyDescent="0.35">
      <c r="AG333" s="187"/>
      <c r="AI333" s="34"/>
      <c r="AJ333" s="405">
        <f ca="1">AJ330*24/(RefTables!$F$10*1000)</f>
        <v>0.88062622309197625</v>
      </c>
      <c r="AK333" s="405">
        <f ca="1">AK330*24/(RefTables!$F$10*1000)</f>
        <v>0.88062622309197625</v>
      </c>
      <c r="AL333" s="405">
        <f ca="1">AL330*24/(RefTables!$F$10*1000)</f>
        <v>0.88062622309197625</v>
      </c>
      <c r="AM333" s="405">
        <f ca="1">AM330*24/(RefTables!$F$10*1000)</f>
        <v>0.78277886497064564</v>
      </c>
      <c r="AN333" s="405">
        <f ca="1">AN330*24/(RefTables!$F$10*1000)</f>
        <v>0.68493150684931503</v>
      </c>
      <c r="AO333" s="405">
        <f ca="1">AO330*24/(RefTables!$F$10*1000)</f>
        <v>0.68493150684931503</v>
      </c>
      <c r="AP333" s="405">
        <f ca="1">AP330*24/(RefTables!$F$10*1000)</f>
        <v>0.5870841487279842</v>
      </c>
      <c r="AQ333" s="405">
        <f ca="1">AQ330*24/(RefTables!$F$10*1000)</f>
        <v>0.5870841487279842</v>
      </c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</row>
    <row r="334" spans="2:55" x14ac:dyDescent="0.35">
      <c r="AG334" s="187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</row>
    <row r="335" spans="2:55" x14ac:dyDescent="0.35">
      <c r="AG335" s="187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</row>
    <row r="336" spans="2:55" x14ac:dyDescent="0.35">
      <c r="AG336" s="187"/>
      <c r="AI336" s="113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</row>
    <row r="337" spans="2:55" x14ac:dyDescent="0.35">
      <c r="AG337" s="187"/>
      <c r="AI337" s="113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</row>
    <row r="338" spans="2:55" x14ac:dyDescent="0.35">
      <c r="AG338" s="187"/>
      <c r="AI338" s="113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</row>
    <row r="339" spans="2:55" x14ac:dyDescent="0.35">
      <c r="AG339" s="187"/>
      <c r="AI339" s="113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</row>
    <row r="340" spans="2:55" x14ac:dyDescent="0.35">
      <c r="AG340" s="187"/>
      <c r="AI340" s="113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</row>
    <row r="341" spans="2:55" x14ac:dyDescent="0.35">
      <c r="AG341" s="187"/>
      <c r="AI341" s="113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</row>
    <row r="342" spans="2:55" x14ac:dyDescent="0.35">
      <c r="AG342" s="187"/>
      <c r="AI342" s="113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</row>
    <row r="343" spans="2:55" x14ac:dyDescent="0.35">
      <c r="B343" s="244" t="s">
        <v>414</v>
      </c>
      <c r="AG343" s="187"/>
      <c r="AI343" s="246" t="s">
        <v>555</v>
      </c>
    </row>
    <row r="344" spans="2:55" x14ac:dyDescent="0.35">
      <c r="AG344" s="187"/>
      <c r="AI344" s="113"/>
      <c r="AJ344" t="s">
        <v>337</v>
      </c>
      <c r="AK344" t="s">
        <v>338</v>
      </c>
      <c r="AL344" t="s">
        <v>339</v>
      </c>
      <c r="AM344" t="s">
        <v>340</v>
      </c>
      <c r="AN344" t="s">
        <v>341</v>
      </c>
      <c r="AO344" t="s">
        <v>342</v>
      </c>
      <c r="AP344" t="s">
        <v>343</v>
      </c>
      <c r="AQ344" t="s">
        <v>344</v>
      </c>
      <c r="AR344" s="113"/>
    </row>
    <row r="345" spans="2:55" x14ac:dyDescent="0.35">
      <c r="AG345" s="187"/>
      <c r="AI345" s="336">
        <v>2020</v>
      </c>
      <c r="AJ345" s="107">
        <f ca="1">INDIRECT(AJ$2&amp;"!P13")</f>
        <v>33.333333333333329</v>
      </c>
      <c r="AK345" s="107">
        <f t="shared" ref="AK345:AQ345" ca="1" si="77">INDIRECT(AK$2&amp;"!P13")</f>
        <v>33.333333333333329</v>
      </c>
      <c r="AL345" s="107">
        <f t="shared" ca="1" si="77"/>
        <v>33.333333333333329</v>
      </c>
      <c r="AM345" s="107">
        <f t="shared" ca="1" si="77"/>
        <v>33.333333333333329</v>
      </c>
      <c r="AN345" s="107">
        <f t="shared" ca="1" si="77"/>
        <v>29.166666666666664</v>
      </c>
      <c r="AO345" s="107">
        <f t="shared" ca="1" si="77"/>
        <v>29.166666666666664</v>
      </c>
      <c r="AP345" s="107">
        <f t="shared" ca="1" si="77"/>
        <v>24.999999999999996</v>
      </c>
      <c r="AQ345" s="107">
        <f t="shared" ca="1" si="77"/>
        <v>24.999999999999996</v>
      </c>
    </row>
    <row r="346" spans="2:55" x14ac:dyDescent="0.35">
      <c r="AG346" s="187"/>
      <c r="AI346" s="336">
        <v>2030</v>
      </c>
      <c r="AJ346" s="107">
        <f ca="1">INDIRECT(AJ$2&amp;"!P23")</f>
        <v>37.499999999999993</v>
      </c>
      <c r="AK346" s="107">
        <f t="shared" ref="AK346:AQ346" ca="1" si="78">INDIRECT(AK$2&amp;"!P23")</f>
        <v>37.499999999999993</v>
      </c>
      <c r="AL346" s="107">
        <f t="shared" ca="1" si="78"/>
        <v>37.499999999999993</v>
      </c>
      <c r="AM346" s="107">
        <f t="shared" ca="1" si="78"/>
        <v>33.333333333333329</v>
      </c>
      <c r="AN346" s="107">
        <f t="shared" ca="1" si="78"/>
        <v>29.166666666666664</v>
      </c>
      <c r="AO346" s="107">
        <f t="shared" ca="1" si="78"/>
        <v>29.166666666666664</v>
      </c>
      <c r="AP346" s="107">
        <f t="shared" ca="1" si="78"/>
        <v>24.999999999999996</v>
      </c>
      <c r="AQ346" s="107">
        <f t="shared" ca="1" si="78"/>
        <v>24.999999999999996</v>
      </c>
    </row>
    <row r="347" spans="2:55" x14ac:dyDescent="0.35">
      <c r="AG347" s="187"/>
      <c r="AI347" s="336"/>
    </row>
    <row r="348" spans="2:55" x14ac:dyDescent="0.35">
      <c r="AG348" s="187"/>
      <c r="AI348" s="113"/>
    </row>
    <row r="349" spans="2:55" x14ac:dyDescent="0.35">
      <c r="AG349" s="187"/>
      <c r="AJ349" s="107"/>
      <c r="AK349" s="107"/>
      <c r="AL349" s="107"/>
      <c r="AM349" s="107"/>
      <c r="AN349" s="107"/>
      <c r="AO349" s="107"/>
      <c r="AP349" s="107"/>
      <c r="AQ349" s="107"/>
    </row>
    <row r="350" spans="2:55" x14ac:dyDescent="0.35">
      <c r="AG350" s="187"/>
      <c r="AJ350" s="107"/>
      <c r="AK350" s="107"/>
      <c r="AL350" s="107"/>
      <c r="AM350" s="107"/>
      <c r="AN350" s="107"/>
      <c r="AO350" s="107"/>
      <c r="AP350" s="107"/>
      <c r="AQ350" s="107"/>
    </row>
    <row r="351" spans="2:55" x14ac:dyDescent="0.35">
      <c r="AG351" s="187"/>
    </row>
    <row r="352" spans="2:55" x14ac:dyDescent="0.35">
      <c r="AG352" s="187"/>
      <c r="AI352" s="113"/>
    </row>
    <row r="353" spans="2:43" x14ac:dyDescent="0.35">
      <c r="AG353" s="187"/>
      <c r="AJ353" s="107"/>
      <c r="AK353" s="107"/>
      <c r="AL353" s="107"/>
      <c r="AM353" s="107"/>
      <c r="AN353" s="107"/>
      <c r="AO353" s="107"/>
      <c r="AP353" s="107"/>
      <c r="AQ353" s="107"/>
    </row>
    <row r="354" spans="2:43" x14ac:dyDescent="0.35">
      <c r="AG354" s="187"/>
      <c r="AJ354" s="107"/>
      <c r="AK354" s="107"/>
      <c r="AL354" s="107"/>
      <c r="AM354" s="107"/>
      <c r="AN354" s="107"/>
      <c r="AO354" s="107"/>
      <c r="AP354" s="107"/>
      <c r="AQ354" s="107"/>
    </row>
    <row r="355" spans="2:43" x14ac:dyDescent="0.35">
      <c r="AG355" s="187"/>
    </row>
    <row r="356" spans="2:43" x14ac:dyDescent="0.35">
      <c r="AG356" s="187"/>
      <c r="AJ356" s="415"/>
      <c r="AK356" s="415"/>
      <c r="AL356" s="415"/>
      <c r="AM356" s="415"/>
    </row>
    <row r="357" spans="2:43" x14ac:dyDescent="0.35">
      <c r="AG357" s="187"/>
    </row>
    <row r="358" spans="2:43" x14ac:dyDescent="0.35">
      <c r="AG358" s="187"/>
      <c r="AJ358" s="107"/>
      <c r="AK358" s="107"/>
      <c r="AL358" s="107"/>
      <c r="AM358" s="107"/>
    </row>
    <row r="359" spans="2:43" x14ac:dyDescent="0.35">
      <c r="B359" s="244" t="s">
        <v>417</v>
      </c>
      <c r="AG359" s="187"/>
      <c r="AJ359" s="107"/>
      <c r="AK359" s="107"/>
      <c r="AL359" s="107"/>
      <c r="AM359" s="107"/>
    </row>
    <row r="360" spans="2:43" x14ac:dyDescent="0.35">
      <c r="AG360" s="187"/>
      <c r="AJ360" s="107"/>
      <c r="AK360" s="107"/>
      <c r="AL360" s="107"/>
      <c r="AM360" s="107"/>
    </row>
    <row r="361" spans="2:43" x14ac:dyDescent="0.35">
      <c r="AG361" s="187"/>
      <c r="AJ361" s="107"/>
      <c r="AK361" s="107"/>
      <c r="AL361" s="107"/>
      <c r="AM361" s="107"/>
    </row>
    <row r="362" spans="2:43" x14ac:dyDescent="0.35">
      <c r="AG362" s="187"/>
      <c r="AJ362" s="107"/>
      <c r="AK362" s="107"/>
      <c r="AL362" s="107"/>
      <c r="AM362" s="107"/>
    </row>
    <row r="363" spans="2:43" x14ac:dyDescent="0.35">
      <c r="AG363" s="187"/>
      <c r="AJ363" s="107"/>
      <c r="AK363" s="107"/>
      <c r="AL363" s="107"/>
      <c r="AM363" s="107"/>
    </row>
    <row r="364" spans="2:43" x14ac:dyDescent="0.35">
      <c r="AG364" s="187"/>
      <c r="AJ364" s="107"/>
      <c r="AK364" s="107"/>
      <c r="AL364" s="107"/>
      <c r="AM364" s="107"/>
    </row>
    <row r="365" spans="2:43" x14ac:dyDescent="0.35">
      <c r="AG365" s="187"/>
      <c r="AJ365" s="107"/>
      <c r="AK365" s="107"/>
      <c r="AL365" s="107"/>
      <c r="AM365" s="107"/>
    </row>
    <row r="366" spans="2:43" x14ac:dyDescent="0.35">
      <c r="AG366" s="187"/>
      <c r="AJ366" s="107"/>
      <c r="AK366" s="107"/>
      <c r="AL366" s="107"/>
      <c r="AM366" s="107"/>
    </row>
    <row r="367" spans="2:43" x14ac:dyDescent="0.35">
      <c r="AG367" s="187"/>
      <c r="AJ367" s="107"/>
      <c r="AK367" s="107"/>
      <c r="AL367" s="107"/>
      <c r="AM367" s="107"/>
    </row>
    <row r="368" spans="2:43" x14ac:dyDescent="0.35">
      <c r="AG368" s="187"/>
      <c r="AJ368" s="107"/>
      <c r="AK368" s="107"/>
      <c r="AL368" s="107"/>
      <c r="AM368" s="107"/>
    </row>
    <row r="369" spans="2:39" x14ac:dyDescent="0.35">
      <c r="AG369" s="187"/>
      <c r="AJ369" s="107"/>
      <c r="AK369" s="107"/>
      <c r="AL369" s="107"/>
      <c r="AM369" s="107"/>
    </row>
    <row r="370" spans="2:39" x14ac:dyDescent="0.35">
      <c r="AG370" s="187"/>
      <c r="AJ370" s="107"/>
      <c r="AK370" s="107"/>
      <c r="AL370" s="107"/>
      <c r="AM370" s="107"/>
    </row>
    <row r="371" spans="2:39" x14ac:dyDescent="0.35">
      <c r="AG371" s="187"/>
      <c r="AJ371" s="107"/>
      <c r="AK371" s="107"/>
      <c r="AL371" s="107"/>
      <c r="AM371" s="107"/>
    </row>
    <row r="372" spans="2:39" x14ac:dyDescent="0.35">
      <c r="AG372" s="187"/>
      <c r="AJ372" s="107"/>
      <c r="AK372" s="107"/>
      <c r="AL372" s="107"/>
      <c r="AM372" s="107"/>
    </row>
    <row r="373" spans="2:39" x14ac:dyDescent="0.35">
      <c r="AG373" s="187"/>
      <c r="AJ373" s="107"/>
      <c r="AK373" s="107"/>
      <c r="AL373" s="107"/>
      <c r="AM373" s="107"/>
    </row>
    <row r="374" spans="2:39" x14ac:dyDescent="0.35">
      <c r="AG374" s="187"/>
    </row>
    <row r="375" spans="2:39" x14ac:dyDescent="0.35">
      <c r="B375" s="187"/>
      <c r="C375" s="187"/>
      <c r="D375" s="187"/>
      <c r="E375" s="187"/>
      <c r="F375" s="187"/>
      <c r="G375" s="187"/>
      <c r="H375" s="187"/>
      <c r="I375" s="187"/>
      <c r="J375" s="187"/>
      <c r="K375" s="187"/>
      <c r="L375" s="187"/>
      <c r="M375" s="187"/>
      <c r="N375" s="187"/>
      <c r="O375" s="187"/>
      <c r="P375" s="187"/>
      <c r="Q375" s="187"/>
      <c r="R375" s="187"/>
      <c r="S375" s="187"/>
      <c r="T375" s="187"/>
      <c r="U375" s="187"/>
      <c r="V375" s="187"/>
      <c r="W375" s="187"/>
      <c r="X375" s="187"/>
      <c r="Y375" s="187"/>
      <c r="Z375" s="187"/>
      <c r="AA375" s="187"/>
      <c r="AB375" s="187"/>
      <c r="AC375" s="187"/>
      <c r="AD375" s="187"/>
      <c r="AE375" s="187"/>
      <c r="AF375" s="187"/>
      <c r="AG375" s="187"/>
    </row>
    <row r="376" spans="2:39" x14ac:dyDescent="0.35">
      <c r="AG376" s="187"/>
    </row>
    <row r="377" spans="2:39" x14ac:dyDescent="0.35">
      <c r="AG377" s="187"/>
    </row>
    <row r="378" spans="2:39" x14ac:dyDescent="0.35">
      <c r="AG378" s="187"/>
    </row>
    <row r="379" spans="2:39" x14ac:dyDescent="0.35">
      <c r="AG379" s="187"/>
    </row>
    <row r="380" spans="2:39" x14ac:dyDescent="0.35">
      <c r="AG380" s="187"/>
    </row>
    <row r="381" spans="2:39" x14ac:dyDescent="0.35">
      <c r="AG381" s="187"/>
    </row>
    <row r="382" spans="2:39" x14ac:dyDescent="0.35">
      <c r="AG382" s="187"/>
    </row>
    <row r="383" spans="2:39" x14ac:dyDescent="0.35">
      <c r="AG383" s="187"/>
    </row>
    <row r="384" spans="2:39" x14ac:dyDescent="0.35">
      <c r="AG384" s="187"/>
    </row>
    <row r="385" spans="33:33" x14ac:dyDescent="0.35">
      <c r="AG385" s="187"/>
    </row>
    <row r="386" spans="33:33" x14ac:dyDescent="0.35">
      <c r="AG386" s="187"/>
    </row>
    <row r="387" spans="33:33" x14ac:dyDescent="0.35">
      <c r="AG387" s="187"/>
    </row>
    <row r="388" spans="33:33" x14ac:dyDescent="0.35">
      <c r="AG388" s="187"/>
    </row>
    <row r="389" spans="33:33" x14ac:dyDescent="0.35">
      <c r="AG389" s="187"/>
    </row>
    <row r="390" spans="33:33" x14ac:dyDescent="0.35">
      <c r="AG390" s="187"/>
    </row>
    <row r="391" spans="33:33" x14ac:dyDescent="0.35">
      <c r="AG391" s="187"/>
    </row>
    <row r="392" spans="33:33" x14ac:dyDescent="0.35">
      <c r="AG392" s="187"/>
    </row>
    <row r="393" spans="33:33" x14ac:dyDescent="0.35">
      <c r="AG393" s="187"/>
    </row>
    <row r="394" spans="33:33" x14ac:dyDescent="0.35">
      <c r="AG394" s="187"/>
    </row>
    <row r="395" spans="33:33" x14ac:dyDescent="0.35">
      <c r="AG395" s="187"/>
    </row>
    <row r="396" spans="33:33" x14ac:dyDescent="0.35">
      <c r="AG396" s="187"/>
    </row>
    <row r="397" spans="33:33" x14ac:dyDescent="0.35">
      <c r="AG397" s="187"/>
    </row>
    <row r="398" spans="33:33" x14ac:dyDescent="0.35">
      <c r="AG398" s="187"/>
    </row>
    <row r="399" spans="33:33" x14ac:dyDescent="0.35">
      <c r="AG399" s="187"/>
    </row>
    <row r="400" spans="33:33" x14ac:dyDescent="0.35">
      <c r="AG400" s="187"/>
    </row>
    <row r="401" spans="2:55" x14ac:dyDescent="0.35">
      <c r="AG401" s="187"/>
    </row>
    <row r="402" spans="2:55" x14ac:dyDescent="0.35">
      <c r="AG402" s="187"/>
    </row>
    <row r="403" spans="2:55" x14ac:dyDescent="0.35">
      <c r="AG403" s="187"/>
    </row>
    <row r="404" spans="2:55" x14ac:dyDescent="0.35">
      <c r="AG404" s="187"/>
    </row>
    <row r="405" spans="2:55" x14ac:dyDescent="0.35">
      <c r="AG405" s="187"/>
    </row>
    <row r="406" spans="2:55" x14ac:dyDescent="0.35">
      <c r="AG406" s="187"/>
    </row>
    <row r="407" spans="2:55" x14ac:dyDescent="0.35">
      <c r="AG407" s="187"/>
    </row>
    <row r="408" spans="2:55" x14ac:dyDescent="0.35">
      <c r="AG408" s="187"/>
    </row>
    <row r="409" spans="2:55" x14ac:dyDescent="0.35">
      <c r="AG409" s="187"/>
    </row>
    <row r="410" spans="2:55" x14ac:dyDescent="0.35">
      <c r="B410" s="292"/>
      <c r="C410" s="293"/>
      <c r="D410" t="s">
        <v>523</v>
      </c>
      <c r="AG410" s="187"/>
      <c r="AI410" s="341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4"/>
      <c r="AV410" s="34"/>
      <c r="AW410" s="34"/>
      <c r="AX410" s="34"/>
      <c r="AY410" s="34"/>
      <c r="AZ410" s="34"/>
      <c r="BA410" s="34"/>
      <c r="BB410" s="34"/>
      <c r="BC410" s="34"/>
    </row>
    <row r="411" spans="2:55" x14ac:dyDescent="0.35">
      <c r="B411" s="294"/>
      <c r="C411" s="295"/>
      <c r="D411" t="s">
        <v>524</v>
      </c>
      <c r="AG411" s="187"/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  <c r="BB411" s="34"/>
      <c r="BC411" s="34"/>
    </row>
    <row r="412" spans="2:55" ht="8.85" customHeight="1" thickBot="1" x14ac:dyDescent="0.4">
      <c r="B412" s="298"/>
      <c r="C412" s="298"/>
      <c r="D412" s="411" t="s">
        <v>564</v>
      </c>
      <c r="E412" s="411"/>
      <c r="F412" s="411"/>
      <c r="G412" s="411"/>
      <c r="H412" s="411"/>
      <c r="I412" s="411"/>
      <c r="J412" s="411"/>
      <c r="K412" s="411"/>
      <c r="L412" s="411"/>
      <c r="M412" s="411"/>
      <c r="N412" s="411"/>
      <c r="O412" s="411"/>
      <c r="P412" s="411"/>
      <c r="Q412" s="411"/>
      <c r="R412" s="411"/>
      <c r="S412" s="411"/>
      <c r="T412" s="411"/>
      <c r="U412" s="411"/>
      <c r="V412" s="411"/>
      <c r="W412" s="411"/>
      <c r="X412" s="411"/>
      <c r="Y412" s="411"/>
      <c r="Z412" s="411"/>
      <c r="AA412" s="411"/>
      <c r="AB412" s="411"/>
      <c r="AC412" s="411"/>
      <c r="AD412" s="411"/>
      <c r="AE412" s="411"/>
      <c r="AG412" s="187"/>
      <c r="AR412" s="34"/>
      <c r="AS412" s="34"/>
      <c r="AT412" s="34"/>
      <c r="AU412" s="34"/>
      <c r="AV412" s="34"/>
      <c r="AW412" s="34"/>
      <c r="AX412" s="34"/>
      <c r="AY412" s="34"/>
      <c r="AZ412" s="34"/>
      <c r="BA412" s="34"/>
      <c r="BB412" s="34"/>
      <c r="BC412" s="34"/>
    </row>
    <row r="413" spans="2:55" ht="8.85" customHeight="1" x14ac:dyDescent="0.35">
      <c r="B413" s="299"/>
      <c r="C413" s="299"/>
      <c r="D413" s="411"/>
      <c r="E413" s="411"/>
      <c r="F413" s="411"/>
      <c r="G413" s="411"/>
      <c r="H413" s="411"/>
      <c r="I413" s="411"/>
      <c r="J413" s="411"/>
      <c r="K413" s="411"/>
      <c r="L413" s="411"/>
      <c r="M413" s="411"/>
      <c r="N413" s="411"/>
      <c r="O413" s="411"/>
      <c r="P413" s="411"/>
      <c r="Q413" s="411"/>
      <c r="R413" s="411"/>
      <c r="S413" s="411"/>
      <c r="T413" s="411"/>
      <c r="U413" s="411"/>
      <c r="V413" s="411"/>
      <c r="W413" s="411"/>
      <c r="X413" s="411"/>
      <c r="Y413" s="411"/>
      <c r="Z413" s="411"/>
      <c r="AA413" s="411"/>
      <c r="AB413" s="411"/>
      <c r="AC413" s="411"/>
      <c r="AD413" s="411"/>
      <c r="AE413" s="411"/>
      <c r="AG413" s="187"/>
      <c r="AR413" s="34"/>
      <c r="AS413" s="34"/>
      <c r="AT413" s="34"/>
      <c r="AU413" s="34"/>
      <c r="AV413" s="34"/>
      <c r="AW413" s="34"/>
      <c r="AX413" s="34"/>
      <c r="AY413" s="34"/>
      <c r="AZ413" s="34"/>
      <c r="BA413" s="34"/>
      <c r="BB413" s="34"/>
      <c r="BC413" s="34"/>
    </row>
    <row r="414" spans="2:55" ht="8.85" customHeight="1" thickBot="1" x14ac:dyDescent="0.4">
      <c r="B414" s="296"/>
      <c r="C414" s="296"/>
      <c r="D414" s="411" t="s">
        <v>565</v>
      </c>
      <c r="E414" s="411"/>
      <c r="F414" s="411"/>
      <c r="G414" s="411"/>
      <c r="H414" s="411"/>
      <c r="I414" s="411"/>
      <c r="J414" s="411"/>
      <c r="K414" s="411"/>
      <c r="L414" s="411"/>
      <c r="M414" s="411"/>
      <c r="N414" s="411"/>
      <c r="O414" s="411"/>
      <c r="P414" s="411"/>
      <c r="Q414" s="411"/>
      <c r="R414" s="411"/>
      <c r="S414" s="411"/>
      <c r="T414" s="411"/>
      <c r="U414" s="411"/>
      <c r="V414" s="411"/>
      <c r="W414" s="411"/>
      <c r="X414" s="411"/>
      <c r="Y414" s="411"/>
      <c r="Z414" s="411"/>
      <c r="AA414" s="411"/>
      <c r="AB414" s="411"/>
      <c r="AC414" s="411"/>
      <c r="AD414" s="411"/>
      <c r="AE414" s="411"/>
      <c r="AG414" s="187"/>
      <c r="AI414" s="341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4"/>
      <c r="AV414" s="34"/>
      <c r="AW414" s="34"/>
      <c r="AX414" s="34"/>
      <c r="AY414" s="34"/>
      <c r="AZ414" s="34"/>
      <c r="BA414" s="34"/>
      <c r="BB414" s="34"/>
      <c r="BC414" s="34"/>
    </row>
    <row r="415" spans="2:55" ht="8.85" customHeight="1" x14ac:dyDescent="0.35">
      <c r="B415" s="297"/>
      <c r="C415" s="297"/>
      <c r="D415" s="411"/>
      <c r="E415" s="411"/>
      <c r="F415" s="411"/>
      <c r="G415" s="411"/>
      <c r="H415" s="411"/>
      <c r="I415" s="411"/>
      <c r="J415" s="411"/>
      <c r="K415" s="411"/>
      <c r="L415" s="411"/>
      <c r="M415" s="411"/>
      <c r="N415" s="411"/>
      <c r="O415" s="411"/>
      <c r="P415" s="411"/>
      <c r="Q415" s="411"/>
      <c r="R415" s="411"/>
      <c r="S415" s="411"/>
      <c r="T415" s="411"/>
      <c r="U415" s="411"/>
      <c r="V415" s="411"/>
      <c r="W415" s="411"/>
      <c r="X415" s="411"/>
      <c r="Y415" s="411"/>
      <c r="Z415" s="411"/>
      <c r="AA415" s="411"/>
      <c r="AB415" s="411"/>
      <c r="AC415" s="411"/>
      <c r="AD415" s="411"/>
      <c r="AE415" s="411"/>
      <c r="AG415" s="187"/>
      <c r="AI415" s="341"/>
      <c r="AJ415" s="34"/>
      <c r="AK415" s="34"/>
      <c r="AL415" s="34"/>
      <c r="AM415" s="34"/>
      <c r="AN415" s="34"/>
      <c r="AO415" s="34"/>
      <c r="AP415" s="34"/>
      <c r="AQ415" s="34"/>
      <c r="AR415" s="34"/>
      <c r="AS415" s="34"/>
      <c r="AT415" s="34"/>
      <c r="AU415" s="34"/>
      <c r="AV415" s="34"/>
      <c r="AW415" s="34"/>
      <c r="AX415" s="34"/>
      <c r="AY415" s="34"/>
      <c r="AZ415" s="34"/>
      <c r="BA415" s="34"/>
      <c r="BB415" s="34"/>
      <c r="BC415" s="34"/>
    </row>
  </sheetData>
  <mergeCells count="17">
    <mergeCell ref="D412:AE413"/>
    <mergeCell ref="D414:AE415"/>
    <mergeCell ref="AY282:BC282"/>
    <mergeCell ref="AJ301:AN301"/>
    <mergeCell ref="AO301:AS301"/>
    <mergeCell ref="AT301:AX301"/>
    <mergeCell ref="AY301:BC301"/>
    <mergeCell ref="AJ282:AN282"/>
    <mergeCell ref="AO282:AS282"/>
    <mergeCell ref="AJ356:AK356"/>
    <mergeCell ref="AL356:AM356"/>
    <mergeCell ref="AS327:AT327"/>
    <mergeCell ref="D270:AE271"/>
    <mergeCell ref="D272:AE273"/>
    <mergeCell ref="AT282:AX282"/>
    <mergeCell ref="D322:AE323"/>
    <mergeCell ref="D324:AE3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39997558519241921"/>
  </sheetPr>
  <dimension ref="B2:AC94"/>
  <sheetViews>
    <sheetView showGridLines="0" topLeftCell="A60" zoomScale="85" zoomScaleNormal="85" workbookViewId="0">
      <selection activeCell="G87" sqref="G87"/>
    </sheetView>
  </sheetViews>
  <sheetFormatPr defaultRowHeight="17.25" x14ac:dyDescent="0.35"/>
  <cols>
    <col min="1" max="1" width="2.625" customWidth="1"/>
    <col min="2" max="2" width="10.25" customWidth="1"/>
    <col min="3" max="3" width="12.625" customWidth="1"/>
    <col min="5" max="6" width="9.625" bestFit="1" customWidth="1"/>
    <col min="7" max="7" width="10.25" bestFit="1" customWidth="1"/>
    <col min="10" max="10" width="9.125" bestFit="1" customWidth="1"/>
    <col min="11" max="12" width="9.875" bestFit="1" customWidth="1"/>
    <col min="13" max="13" width="9.125" bestFit="1" customWidth="1"/>
  </cols>
  <sheetData>
    <row r="2" spans="2:29" x14ac:dyDescent="0.35">
      <c r="B2" t="s">
        <v>630</v>
      </c>
    </row>
    <row r="3" spans="2:29" x14ac:dyDescent="0.35">
      <c r="B3" t="s">
        <v>637</v>
      </c>
    </row>
    <row r="4" spans="2:29" x14ac:dyDescent="0.35">
      <c r="B4" t="s">
        <v>638</v>
      </c>
    </row>
    <row r="5" spans="2:29" x14ac:dyDescent="0.35">
      <c r="B5" t="s">
        <v>639</v>
      </c>
    </row>
    <row r="8" spans="2:29" x14ac:dyDescent="0.35">
      <c r="E8" s="367">
        <v>2015</v>
      </c>
      <c r="F8" s="367">
        <v>2020</v>
      </c>
      <c r="G8" s="367">
        <v>2030</v>
      </c>
      <c r="I8" s="2"/>
      <c r="J8" s="425" t="s">
        <v>619</v>
      </c>
      <c r="K8" s="426"/>
      <c r="L8" s="426"/>
      <c r="M8" s="427"/>
      <c r="N8" s="425" t="s">
        <v>620</v>
      </c>
      <c r="O8" s="426"/>
      <c r="P8" s="426"/>
      <c r="Q8" s="427"/>
      <c r="R8" s="425" t="s">
        <v>628</v>
      </c>
      <c r="S8" s="426"/>
      <c r="T8" s="426"/>
      <c r="U8" s="427"/>
      <c r="V8" s="425" t="s">
        <v>631</v>
      </c>
      <c r="W8" s="426"/>
      <c r="X8" s="426"/>
      <c r="Y8" s="427"/>
      <c r="Z8" s="425" t="s">
        <v>633</v>
      </c>
      <c r="AA8" s="426"/>
      <c r="AB8" s="426"/>
      <c r="AC8" s="427"/>
    </row>
    <row r="9" spans="2:29" x14ac:dyDescent="0.35">
      <c r="B9" s="420" t="s">
        <v>610</v>
      </c>
      <c r="C9" s="421" t="s">
        <v>611</v>
      </c>
      <c r="D9" s="370" t="s">
        <v>271</v>
      </c>
      <c r="E9" s="368">
        <v>4</v>
      </c>
      <c r="F9" s="368">
        <v>11</v>
      </c>
      <c r="G9" s="368">
        <v>12</v>
      </c>
      <c r="I9" s="27"/>
      <c r="J9" s="26" t="s">
        <v>615</v>
      </c>
      <c r="K9" s="128" t="s">
        <v>616</v>
      </c>
      <c r="L9" s="128" t="s">
        <v>617</v>
      </c>
      <c r="M9" s="382" t="s">
        <v>618</v>
      </c>
      <c r="N9" s="26" t="s">
        <v>615</v>
      </c>
      <c r="O9" s="128" t="s">
        <v>616</v>
      </c>
      <c r="P9" s="128" t="s">
        <v>617</v>
      </c>
      <c r="Q9" s="382" t="s">
        <v>618</v>
      </c>
      <c r="R9" s="26" t="s">
        <v>615</v>
      </c>
      <c r="S9" s="128" t="s">
        <v>616</v>
      </c>
      <c r="T9" s="128" t="s">
        <v>617</v>
      </c>
      <c r="U9" s="382" t="s">
        <v>618</v>
      </c>
      <c r="V9" s="26" t="s">
        <v>615</v>
      </c>
      <c r="W9" s="128" t="s">
        <v>616</v>
      </c>
      <c r="X9" s="128" t="s">
        <v>617</v>
      </c>
      <c r="Y9" s="382" t="s">
        <v>618</v>
      </c>
      <c r="Z9" s="26" t="s">
        <v>615</v>
      </c>
      <c r="AA9" s="128" t="s">
        <v>616</v>
      </c>
      <c r="AB9" s="128" t="s">
        <v>617</v>
      </c>
      <c r="AC9" s="382" t="s">
        <v>618</v>
      </c>
    </row>
    <row r="10" spans="2:29" x14ac:dyDescent="0.35">
      <c r="B10" s="418"/>
      <c r="C10" s="422"/>
      <c r="D10" s="2" t="s">
        <v>272</v>
      </c>
      <c r="E10" s="78">
        <v>4</v>
      </c>
      <c r="F10" s="78">
        <v>12</v>
      </c>
      <c r="G10" s="78">
        <v>13</v>
      </c>
      <c r="I10" s="326">
        <v>2015</v>
      </c>
      <c r="J10" s="383">
        <f>INDEX($E$39:$G$42,MATCH(J$27,$D$39:$D$42,0),MATCH($I10,$E$8:$G$8,0))</f>
        <v>0</v>
      </c>
      <c r="K10" s="281">
        <f t="shared" ref="K10:M10" si="0">INDEX($E$39:$G$42,MATCH(K$27,$D$39:$D$42,0),MATCH($I10,$E$8:$G$8,0))</f>
        <v>0</v>
      </c>
      <c r="L10" s="281">
        <f t="shared" si="0"/>
        <v>0</v>
      </c>
      <c r="M10" s="384">
        <f t="shared" si="0"/>
        <v>0</v>
      </c>
      <c r="N10" s="383">
        <f>INDEX($E$44:$G$47,MATCH(N$27,$D$44:$D$47,0),MATCH($I10,$E$8:$G$8,0))</f>
        <v>0</v>
      </c>
      <c r="O10" s="281">
        <f>INDEX($E$44:$G$47,MATCH(O$27,$D$44:$D$47,0),MATCH($I10,$E$8:$G$8,0))</f>
        <v>0</v>
      </c>
      <c r="P10" s="281">
        <f>INDEX($E$44:$G$47,MATCH(P$27,$D$44:$D$47,0),MATCH($I10,$E$8:$G$8,0))</f>
        <v>0</v>
      </c>
      <c r="Q10" s="384">
        <f>INDEX($E$44:$G$47,MATCH(Q$27,$D$44:$D$47,0),MATCH($I10,$E$8:$G$8,0))</f>
        <v>0</v>
      </c>
      <c r="R10" s="389">
        <f>INDEX($E$65:$G$68,MATCH(R$27,$D$65:$D$68,0),MATCH($I10,$E$8:$G$8,0))</f>
        <v>0</v>
      </c>
      <c r="S10" s="103">
        <f t="shared" ref="S10:U10" si="1">INDEX($E$65:$G$68,MATCH(S$27,$D$65:$D$68,0),MATCH($I10,$E$8:$G$8,0))</f>
        <v>0</v>
      </c>
      <c r="T10" s="103">
        <f t="shared" si="1"/>
        <v>0</v>
      </c>
      <c r="U10" s="390">
        <f t="shared" si="1"/>
        <v>0</v>
      </c>
      <c r="V10" s="149">
        <f>INDEX($E$70:$G$73,MATCH(V$27,$D$70:$D$73,0),MATCH($I10,$E$8:$G$8,0))</f>
        <v>0</v>
      </c>
      <c r="W10" s="83">
        <f>INDEX($E$70:$G$73,MATCH(W$27,$D$70:$D$73,0),MATCH($I10,$E$8:$G$8,0))</f>
        <v>0</v>
      </c>
      <c r="X10" s="83">
        <f>INDEX($E$70:$G$73,MATCH(X$27,$D$70:$D$73,0),MATCH($I10,$E$8:$G$8,0))</f>
        <v>0</v>
      </c>
      <c r="Y10" s="85">
        <f>INDEX($E$70:$G$73,MATCH(Y$27,$D$70:$D$73,0),MATCH($I10,$E$8:$G$8,0))</f>
        <v>0</v>
      </c>
      <c r="Z10" s="149">
        <f>INDEX($E$91:$G$94,MATCH(Z$27,$D$91:$D$94,0),MATCH($I10,$E$8:$G$8,0))</f>
        <v>0</v>
      </c>
      <c r="AA10" s="83">
        <f t="shared" ref="AA10:AC10" si="2">INDEX($E$91:$G$94,MATCH(AA$27,$D$91:$D$94,0),MATCH($I10,$E$8:$G$8,0))</f>
        <v>0</v>
      </c>
      <c r="AB10" s="83">
        <f t="shared" si="2"/>
        <v>0</v>
      </c>
      <c r="AC10" s="85">
        <f t="shared" si="2"/>
        <v>0</v>
      </c>
    </row>
    <row r="11" spans="2:29" x14ac:dyDescent="0.35">
      <c r="B11" s="418"/>
      <c r="C11" s="422"/>
      <c r="D11" s="2" t="s">
        <v>273</v>
      </c>
      <c r="E11" s="78">
        <v>5</v>
      </c>
      <c r="F11" s="78">
        <v>12</v>
      </c>
      <c r="G11" s="78">
        <v>21</v>
      </c>
      <c r="I11" s="367">
        <f>I10+1</f>
        <v>2016</v>
      </c>
      <c r="J11" s="385">
        <f>(J$15-J$10)/5+J10</f>
        <v>-3.0268666666666832E-3</v>
      </c>
      <c r="K11" s="386">
        <f t="shared" ref="K11:Q14" si="3">(K$15-K$10)/5+K10</f>
        <v>0</v>
      </c>
      <c r="L11" s="386">
        <f t="shared" si="3"/>
        <v>-2.7241800000000184E-2</v>
      </c>
      <c r="M11" s="387">
        <f t="shared" si="3"/>
        <v>-2.2947000000000096E-2</v>
      </c>
      <c r="N11" s="385">
        <f t="shared" si="3"/>
        <v>-1.9112727272727281E-2</v>
      </c>
      <c r="O11" s="386">
        <f t="shared" si="3"/>
        <v>-2.24883390830096E-3</v>
      </c>
      <c r="P11" s="386">
        <f t="shared" si="3"/>
        <v>-0.15529090909090898</v>
      </c>
      <c r="Q11" s="387">
        <f t="shared" si="3"/>
        <v>-1.9112727272727281E-2</v>
      </c>
      <c r="R11" s="391">
        <f t="shared" ref="R11:R14" si="4">(R$15-R$10)/5+R10</f>
        <v>-0.10403593333333347</v>
      </c>
      <c r="S11" s="371">
        <f t="shared" ref="S11:S14" si="5">(S$15-S$10)/5+S10</f>
        <v>0</v>
      </c>
      <c r="T11" s="371">
        <f t="shared" ref="T11:T14" si="6">(T$15-T$10)/5+T10</f>
        <v>-0.86825520000000078</v>
      </c>
      <c r="U11" s="392">
        <f t="shared" ref="U11:U14" si="7">(U$15-U$10)/5+U10</f>
        <v>-0.11286459999999962</v>
      </c>
      <c r="V11" s="395">
        <f t="shared" ref="V11:V14" si="8">(V$15-V$10)/5+V10</f>
        <v>2.06327636344021</v>
      </c>
      <c r="W11" s="396">
        <f t="shared" ref="W11:W14" si="9">(W$15-W$10)/5+W10</f>
        <v>0</v>
      </c>
      <c r="X11" s="396">
        <f t="shared" ref="X11:X14" si="10">(X$15-X$10)/5+X10</f>
        <v>17.366117452454088</v>
      </c>
      <c r="Y11" s="397">
        <f t="shared" ref="Y11:Y14" si="11">(Y$15-Y$10)/5+Y10</f>
        <v>2.06327636344021</v>
      </c>
      <c r="Z11" s="395">
        <f t="shared" ref="Z11:Z14" si="12">(Z$15-Z$10)/5+Z10</f>
        <v>-0.76606595247592679</v>
      </c>
      <c r="AA11" s="396">
        <f t="shared" ref="AA11:AA14" si="13">(AA$15-AA$10)/5+AA10</f>
        <v>0</v>
      </c>
      <c r="AB11" s="396">
        <f t="shared" ref="AB11:AB14" si="14">(AB$15-AB$10)/5+AB10</f>
        <v>-7.3494417554765166</v>
      </c>
      <c r="AC11" s="397">
        <f t="shared" ref="AC11:AC14" si="15">(AC$15-AC$10)/5+AC10</f>
        <v>-0.74868636161143343</v>
      </c>
    </row>
    <row r="12" spans="2:29" x14ac:dyDescent="0.35">
      <c r="B12" s="418"/>
      <c r="C12" s="424" t="s">
        <v>612</v>
      </c>
      <c r="D12" s="372" t="s">
        <v>271</v>
      </c>
      <c r="E12" s="407">
        <v>4</v>
      </c>
      <c r="F12" s="407">
        <v>12</v>
      </c>
      <c r="G12" s="407">
        <v>18</v>
      </c>
      <c r="I12" s="367">
        <f t="shared" ref="I12:I25" si="16">I11+1</f>
        <v>2017</v>
      </c>
      <c r="J12" s="385">
        <f>(J$15-J$10)/5+J11</f>
        <v>-6.0537333333333665E-3</v>
      </c>
      <c r="K12" s="386">
        <f t="shared" si="3"/>
        <v>0</v>
      </c>
      <c r="L12" s="386">
        <f t="shared" si="3"/>
        <v>-5.4483600000000368E-2</v>
      </c>
      <c r="M12" s="387">
        <f t="shared" si="3"/>
        <v>-4.5894000000000192E-2</v>
      </c>
      <c r="N12" s="385">
        <f t="shared" si="3"/>
        <v>-3.8225454545454562E-2</v>
      </c>
      <c r="O12" s="386">
        <f t="shared" si="3"/>
        <v>-4.4976678166019201E-3</v>
      </c>
      <c r="P12" s="386">
        <f t="shared" si="3"/>
        <v>-0.31058181818181796</v>
      </c>
      <c r="Q12" s="387">
        <f t="shared" si="3"/>
        <v>-3.8225454545454562E-2</v>
      </c>
      <c r="R12" s="391">
        <f t="shared" si="4"/>
        <v>-0.20807186666666694</v>
      </c>
      <c r="S12" s="371">
        <f t="shared" si="5"/>
        <v>0</v>
      </c>
      <c r="T12" s="371">
        <f t="shared" si="6"/>
        <v>-1.7365104000000016</v>
      </c>
      <c r="U12" s="392">
        <f t="shared" si="7"/>
        <v>-0.22572919999999924</v>
      </c>
      <c r="V12" s="395">
        <f t="shared" si="8"/>
        <v>4.1265527268804201</v>
      </c>
      <c r="W12" s="396">
        <f t="shared" si="9"/>
        <v>0</v>
      </c>
      <c r="X12" s="396">
        <f t="shared" si="10"/>
        <v>34.732234904908175</v>
      </c>
      <c r="Y12" s="397">
        <f t="shared" si="11"/>
        <v>4.1265527268804201</v>
      </c>
      <c r="Z12" s="395">
        <f t="shared" si="12"/>
        <v>-1.5321319049518536</v>
      </c>
      <c r="AA12" s="396">
        <f t="shared" si="13"/>
        <v>0</v>
      </c>
      <c r="AB12" s="396">
        <f t="shared" si="14"/>
        <v>-14.698883510953033</v>
      </c>
      <c r="AC12" s="397">
        <f t="shared" si="15"/>
        <v>-1.4973727232228669</v>
      </c>
    </row>
    <row r="13" spans="2:29" x14ac:dyDescent="0.35">
      <c r="B13" s="418"/>
      <c r="C13" s="422"/>
      <c r="D13" s="2" t="s">
        <v>272</v>
      </c>
      <c r="E13" s="78">
        <v>4</v>
      </c>
      <c r="F13" s="78">
        <v>13</v>
      </c>
      <c r="G13" s="78">
        <v>20</v>
      </c>
      <c r="I13" s="367">
        <f t="shared" si="16"/>
        <v>2018</v>
      </c>
      <c r="J13" s="385">
        <f>(J$15-J$10)/5+J12</f>
        <v>-9.0806000000000497E-3</v>
      </c>
      <c r="K13" s="386">
        <f t="shared" si="3"/>
        <v>0</v>
      </c>
      <c r="L13" s="386">
        <f t="shared" si="3"/>
        <v>-8.1725400000000559E-2</v>
      </c>
      <c r="M13" s="387">
        <f t="shared" si="3"/>
        <v>-6.8841000000000291E-2</v>
      </c>
      <c r="N13" s="385">
        <f t="shared" si="3"/>
        <v>-5.7338181818181844E-2</v>
      </c>
      <c r="O13" s="386">
        <f t="shared" si="3"/>
        <v>-6.7465017249028801E-3</v>
      </c>
      <c r="P13" s="386">
        <f t="shared" si="3"/>
        <v>-0.46587272727272694</v>
      </c>
      <c r="Q13" s="387">
        <f t="shared" si="3"/>
        <v>-5.7338181818181844E-2</v>
      </c>
      <c r="R13" s="391">
        <f t="shared" si="4"/>
        <v>-0.31210780000000038</v>
      </c>
      <c r="S13" s="371">
        <f t="shared" si="5"/>
        <v>0</v>
      </c>
      <c r="T13" s="371">
        <f t="shared" si="6"/>
        <v>-2.6047656000000021</v>
      </c>
      <c r="U13" s="392">
        <f t="shared" si="7"/>
        <v>-0.33859379999999883</v>
      </c>
      <c r="V13" s="395">
        <f t="shared" si="8"/>
        <v>6.1898290903206306</v>
      </c>
      <c r="W13" s="396">
        <f t="shared" si="9"/>
        <v>0</v>
      </c>
      <c r="X13" s="396">
        <f t="shared" si="10"/>
        <v>52.098352357362259</v>
      </c>
      <c r="Y13" s="397">
        <f t="shared" si="11"/>
        <v>6.1898290903206306</v>
      </c>
      <c r="Z13" s="395">
        <f t="shared" si="12"/>
        <v>-2.2981978574277804</v>
      </c>
      <c r="AA13" s="396">
        <f t="shared" si="13"/>
        <v>0</v>
      </c>
      <c r="AB13" s="396">
        <f t="shared" si="14"/>
        <v>-22.048325266429551</v>
      </c>
      <c r="AC13" s="397">
        <f t="shared" si="15"/>
        <v>-2.2460590848343003</v>
      </c>
    </row>
    <row r="14" spans="2:29" x14ac:dyDescent="0.35">
      <c r="B14" s="419"/>
      <c r="C14" s="428"/>
      <c r="D14" s="27" t="s">
        <v>273</v>
      </c>
      <c r="E14" s="410">
        <v>5</v>
      </c>
      <c r="F14" s="410">
        <v>15</v>
      </c>
      <c r="G14" s="410">
        <v>22</v>
      </c>
      <c r="I14" s="367">
        <f t="shared" si="16"/>
        <v>2019</v>
      </c>
      <c r="J14" s="385">
        <f>(J$15-J$10)/5+J13</f>
        <v>-1.2107466666666733E-2</v>
      </c>
      <c r="K14" s="386">
        <f t="shared" si="3"/>
        <v>0</v>
      </c>
      <c r="L14" s="386">
        <f t="shared" si="3"/>
        <v>-0.10896720000000074</v>
      </c>
      <c r="M14" s="387">
        <f t="shared" si="3"/>
        <v>-9.1788000000000383E-2</v>
      </c>
      <c r="N14" s="385">
        <f t="shared" si="3"/>
        <v>-7.6450909090909125E-2</v>
      </c>
      <c r="O14" s="386">
        <f t="shared" si="3"/>
        <v>-8.9953356332038402E-3</v>
      </c>
      <c r="P14" s="386">
        <f t="shared" si="3"/>
        <v>-0.62116363636363592</v>
      </c>
      <c r="Q14" s="387">
        <f t="shared" si="3"/>
        <v>-7.6450909090909125E-2</v>
      </c>
      <c r="R14" s="391">
        <f t="shared" si="4"/>
        <v>-0.41614373333333388</v>
      </c>
      <c r="S14" s="371">
        <f t="shared" si="5"/>
        <v>0</v>
      </c>
      <c r="T14" s="371">
        <f t="shared" si="6"/>
        <v>-3.4730208000000031</v>
      </c>
      <c r="U14" s="392">
        <f t="shared" si="7"/>
        <v>-0.45145839999999848</v>
      </c>
      <c r="V14" s="395">
        <f t="shared" si="8"/>
        <v>8.2531054537608401</v>
      </c>
      <c r="W14" s="396">
        <f t="shared" si="9"/>
        <v>0</v>
      </c>
      <c r="X14" s="396">
        <f t="shared" si="10"/>
        <v>69.46446980981635</v>
      </c>
      <c r="Y14" s="397">
        <f t="shared" si="11"/>
        <v>8.2531054537608401</v>
      </c>
      <c r="Z14" s="395">
        <f t="shared" si="12"/>
        <v>-3.0642638099037072</v>
      </c>
      <c r="AA14" s="396">
        <f t="shared" si="13"/>
        <v>0</v>
      </c>
      <c r="AB14" s="396">
        <f t="shared" si="14"/>
        <v>-29.397767021906066</v>
      </c>
      <c r="AC14" s="397">
        <f t="shared" si="15"/>
        <v>-2.9947454464457337</v>
      </c>
    </row>
    <row r="15" spans="2:29" x14ac:dyDescent="0.35">
      <c r="B15" s="374"/>
      <c r="C15" s="373"/>
      <c r="D15" s="2"/>
      <c r="E15" s="78"/>
      <c r="F15" s="78"/>
      <c r="G15" s="78"/>
      <c r="I15" s="367">
        <f t="shared" si="16"/>
        <v>2020</v>
      </c>
      <c r="J15" s="383">
        <f t="shared" ref="J15:M15" si="17">INDEX($E$39:$G$42,MATCH(J$27,$D$39:$D$42,0),MATCH($I15,$E$8:$G$8,0))</f>
        <v>-1.5134333333333416E-2</v>
      </c>
      <c r="K15" s="281">
        <f t="shared" si="17"/>
        <v>0</v>
      </c>
      <c r="L15" s="281">
        <f t="shared" si="17"/>
        <v>-0.13620900000000091</v>
      </c>
      <c r="M15" s="384">
        <f t="shared" si="17"/>
        <v>-0.11473500000000048</v>
      </c>
      <c r="N15" s="383">
        <f>INDEX($E$44:$G$47,MATCH(N$27,$D$44:$D$47,0),MATCH($I15,$E$8:$G$8,0))</f>
        <v>-9.5563636363636406E-2</v>
      </c>
      <c r="O15" s="281">
        <f>INDEX($E$44:$G$47,MATCH(O$27,$D$44:$D$47,0),MATCH($I15,$E$8:$G$8,0))</f>
        <v>-1.1244169541504799E-2</v>
      </c>
      <c r="P15" s="281">
        <f>INDEX($E$44:$G$47,MATCH(P$27,$D$44:$D$47,0),MATCH($I15,$E$8:$G$8,0))</f>
        <v>-0.77645454545454495</v>
      </c>
      <c r="Q15" s="384">
        <f>INDEX($E$44:$G$47,MATCH(Q$27,$D$44:$D$47,0),MATCH($I15,$E$8:$G$8,0))</f>
        <v>-9.5563636363636406E-2</v>
      </c>
      <c r="R15" s="389">
        <f t="shared" ref="R15:U15" si="18">INDEX($E$65:$G$68,MATCH(R$27,$D$65:$D$68,0),MATCH($I15,$E$8:$G$8,0))</f>
        <v>-0.52017966666666737</v>
      </c>
      <c r="S15" s="103">
        <f t="shared" si="18"/>
        <v>0</v>
      </c>
      <c r="T15" s="103">
        <f t="shared" si="18"/>
        <v>-4.3412760000000041</v>
      </c>
      <c r="U15" s="390">
        <f t="shared" si="18"/>
        <v>-0.56432299999999813</v>
      </c>
      <c r="V15" s="149">
        <f>INDEX($E$70:$G$73,MATCH(V$27,$D$70:$D$73,0),MATCH($I15,$E$8:$G$8,0))</f>
        <v>10.31638181720105</v>
      </c>
      <c r="W15" s="83">
        <f>INDEX($E$70:$G$73,MATCH(W$27,$D$70:$D$73,0),MATCH($I15,$E$8:$G$8,0))</f>
        <v>0</v>
      </c>
      <c r="X15" s="83">
        <f>INDEX($E$70:$G$73,MATCH(X$27,$D$70:$D$73,0),MATCH($I15,$E$8:$G$8,0))</f>
        <v>86.830587262270441</v>
      </c>
      <c r="Y15" s="85">
        <f>INDEX($E$70:$G$73,MATCH(Y$27,$D$70:$D$73,0),MATCH($I15,$E$8:$G$8,0))</f>
        <v>10.31638181720105</v>
      </c>
      <c r="Z15" s="149">
        <f t="shared" ref="Z15:AC15" si="19">INDEX($E$91:$G$94,MATCH(Z$27,$D$91:$D$94,0),MATCH($I15,$E$8:$G$8,0))</f>
        <v>-3.830329762379634</v>
      </c>
      <c r="AA15" s="83">
        <f t="shared" si="19"/>
        <v>0</v>
      </c>
      <c r="AB15" s="83">
        <f t="shared" si="19"/>
        <v>-36.747208777382582</v>
      </c>
      <c r="AC15" s="85">
        <f t="shared" si="19"/>
        <v>-3.7434318080571671</v>
      </c>
    </row>
    <row r="16" spans="2:29" x14ac:dyDescent="0.35">
      <c r="B16" s="420" t="s">
        <v>627</v>
      </c>
      <c r="C16" s="421" t="s">
        <v>611</v>
      </c>
      <c r="D16" s="370" t="s">
        <v>271</v>
      </c>
      <c r="E16" s="368">
        <v>0.23499999999999999</v>
      </c>
      <c r="F16" s="368">
        <v>30</v>
      </c>
      <c r="G16" s="368">
        <v>67</v>
      </c>
      <c r="I16" s="367">
        <f t="shared" si="16"/>
        <v>2021</v>
      </c>
      <c r="J16" s="385">
        <f t="shared" ref="J16:J24" si="20">(J$25-J$15)/10+J15</f>
        <v>-0.61102689999999948</v>
      </c>
      <c r="K16" s="386">
        <f t="shared" ref="K16:K24" si="21">(K$25-K$15)/10+K15</f>
        <v>-0.53999820895522299</v>
      </c>
      <c r="L16" s="386">
        <f t="shared" ref="L16:L24" si="22">(L$25-L$15)/10+L15</f>
        <v>-1.0962832428571443</v>
      </c>
      <c r="M16" s="387">
        <f t="shared" ref="M16:M24" si="23">(M$25-M$15)/10+M15</f>
        <v>-0.32502083333333404</v>
      </c>
      <c r="N16" s="385">
        <f t="shared" ref="N16:N24" si="24">(N$25-N$15)/10+N15</f>
        <v>-0.5005862181818177</v>
      </c>
      <c r="O16" s="386">
        <f t="shared" ref="O16:O24" si="25">(O$25-O$15)/10+O15</f>
        <v>-0.43317997076917236</v>
      </c>
      <c r="P16" s="386">
        <f t="shared" ref="P16:P24" si="26">(P$25-P$15)/10+P15</f>
        <v>-1.8186954545454506</v>
      </c>
      <c r="Q16" s="387">
        <f t="shared" ref="Q16:Q24" si="27">(Q$25-Q$15)/10+Q15</f>
        <v>-0.5005862181818177</v>
      </c>
      <c r="R16" s="391">
        <f t="shared" ref="R16:R24" si="28">(R$25-R$15)/10+R15</f>
        <v>-2.9064250333333339</v>
      </c>
      <c r="S16" s="371">
        <f t="shared" ref="S16:S24" si="29">(S$25-S$15)/10+S15</f>
        <v>-4.5794305223880585</v>
      </c>
      <c r="T16" s="371">
        <f t="shared" ref="T16:T24" si="30">(T$25-T$15)/10+T15</f>
        <v>-8.2768713047619062</v>
      </c>
      <c r="U16" s="392">
        <f t="shared" ref="U16:U24" si="31">(U$25-U$15)/10+U15</f>
        <v>-2.3293486999999975</v>
      </c>
      <c r="V16" s="395">
        <f t="shared" ref="V16:V24" si="32">(V$25-V$15)/10+V15</f>
        <v>66.07311769103913</v>
      </c>
      <c r="W16" s="396">
        <f t="shared" ref="W16:W24" si="33">(W$25-W$15)/10+W15</f>
        <v>57.087999612576652</v>
      </c>
      <c r="X16" s="396">
        <f t="shared" ref="X16:X24" si="34">(X$25-X$15)/10+X15</f>
        <v>343.72048431972195</v>
      </c>
      <c r="Y16" s="397">
        <f t="shared" ref="Y16:Y24" si="35">(Y$25-Y$15)/10+Y15</f>
        <v>66.07311769103913</v>
      </c>
      <c r="Z16" s="395">
        <f t="shared" ref="Z16:Z24" si="36">(Z$25-Z$15)/10+Z15</f>
        <v>-39.42445728359526</v>
      </c>
      <c r="AA16" s="396">
        <f t="shared" ref="AA16:AA24" si="37">(AA$25-AA$15)/10+AA15</f>
        <v>14.004656513289353</v>
      </c>
      <c r="AB16" s="396">
        <f t="shared" ref="AB16:AB24" si="38">(AB$25-AB$15)/10+AB15</f>
        <v>-114.66226317101585</v>
      </c>
      <c r="AC16" s="397">
        <f t="shared" ref="AC16:AC24" si="39">(AC$25-AC$15)/10+AC15</f>
        <v>-38.259987439000682</v>
      </c>
    </row>
    <row r="17" spans="2:29" x14ac:dyDescent="0.35">
      <c r="B17" s="418"/>
      <c r="C17" s="422"/>
      <c r="D17" s="2" t="s">
        <v>272</v>
      </c>
      <c r="E17" s="78">
        <v>0.23499999999999999</v>
      </c>
      <c r="F17" s="78">
        <v>30</v>
      </c>
      <c r="G17" s="78">
        <v>78</v>
      </c>
      <c r="I17" s="367">
        <f t="shared" si="16"/>
        <v>2022</v>
      </c>
      <c r="J17" s="385">
        <f t="shared" si="20"/>
        <v>-1.2069194666666656</v>
      </c>
      <c r="K17" s="386">
        <f t="shared" si="21"/>
        <v>-1.079996417910446</v>
      </c>
      <c r="L17" s="386">
        <f t="shared" si="22"/>
        <v>-2.0563574857142877</v>
      </c>
      <c r="M17" s="387">
        <f t="shared" si="23"/>
        <v>-0.5353066666666676</v>
      </c>
      <c r="N17" s="385">
        <f t="shared" si="24"/>
        <v>-0.90560879999999899</v>
      </c>
      <c r="O17" s="386">
        <f t="shared" si="25"/>
        <v>-0.85511577199683986</v>
      </c>
      <c r="P17" s="386">
        <f t="shared" si="26"/>
        <v>-2.8609363636363563</v>
      </c>
      <c r="Q17" s="387">
        <f t="shared" si="27"/>
        <v>-0.90560879999999899</v>
      </c>
      <c r="R17" s="391">
        <f t="shared" si="28"/>
        <v>-5.2926704000000004</v>
      </c>
      <c r="S17" s="371">
        <f t="shared" si="29"/>
        <v>-9.158861044776117</v>
      </c>
      <c r="T17" s="371">
        <f t="shared" si="30"/>
        <v>-12.212466609523808</v>
      </c>
      <c r="U17" s="392">
        <f t="shared" si="31"/>
        <v>-4.0943743999999969</v>
      </c>
      <c r="V17" s="395">
        <f t="shared" si="32"/>
        <v>121.82985356487721</v>
      </c>
      <c r="W17" s="396">
        <f t="shared" si="33"/>
        <v>114.1759992251533</v>
      </c>
      <c r="X17" s="396">
        <f t="shared" si="34"/>
        <v>600.61038137717344</v>
      </c>
      <c r="Y17" s="397">
        <f t="shared" si="35"/>
        <v>121.82985356487721</v>
      </c>
      <c r="Z17" s="395">
        <f t="shared" si="36"/>
        <v>-75.018584804810885</v>
      </c>
      <c r="AA17" s="396">
        <f t="shared" si="37"/>
        <v>28.009313026578706</v>
      </c>
      <c r="AB17" s="396">
        <f t="shared" si="38"/>
        <v>-192.57731756464912</v>
      </c>
      <c r="AC17" s="397">
        <f t="shared" si="39"/>
        <v>-72.776543069944196</v>
      </c>
    </row>
    <row r="18" spans="2:29" x14ac:dyDescent="0.35">
      <c r="B18" s="418"/>
      <c r="C18" s="422"/>
      <c r="D18" s="2" t="s">
        <v>273</v>
      </c>
      <c r="E18" s="78">
        <v>0.23699999999999999</v>
      </c>
      <c r="F18" s="78">
        <v>30</v>
      </c>
      <c r="G18" s="78">
        <v>126</v>
      </c>
      <c r="I18" s="367">
        <f t="shared" si="16"/>
        <v>2023</v>
      </c>
      <c r="J18" s="385">
        <f t="shared" si="20"/>
        <v>-1.8028120333333317</v>
      </c>
      <c r="K18" s="386">
        <f t="shared" si="21"/>
        <v>-1.6199946268656689</v>
      </c>
      <c r="L18" s="386">
        <f t="shared" si="22"/>
        <v>-3.016431728571431</v>
      </c>
      <c r="M18" s="387">
        <f t="shared" si="23"/>
        <v>-0.74559250000000121</v>
      </c>
      <c r="N18" s="385">
        <f t="shared" si="24"/>
        <v>-1.3106313818181803</v>
      </c>
      <c r="O18" s="386">
        <f t="shared" si="25"/>
        <v>-1.2770515732245074</v>
      </c>
      <c r="P18" s="386">
        <f t="shared" si="26"/>
        <v>-3.9031772727272616</v>
      </c>
      <c r="Q18" s="387">
        <f t="shared" si="27"/>
        <v>-1.3106313818181803</v>
      </c>
      <c r="R18" s="391">
        <f t="shared" si="28"/>
        <v>-7.678915766666667</v>
      </c>
      <c r="S18" s="371">
        <f t="shared" si="29"/>
        <v>-13.738291567164175</v>
      </c>
      <c r="T18" s="371">
        <f t="shared" si="30"/>
        <v>-16.148061914285712</v>
      </c>
      <c r="U18" s="392">
        <f t="shared" si="31"/>
        <v>-5.8594000999999967</v>
      </c>
      <c r="V18" s="395">
        <f t="shared" si="32"/>
        <v>177.58658943871529</v>
      </c>
      <c r="W18" s="396">
        <f t="shared" si="33"/>
        <v>171.26399883772996</v>
      </c>
      <c r="X18" s="396">
        <f t="shared" si="34"/>
        <v>857.50027843462499</v>
      </c>
      <c r="Y18" s="397">
        <f t="shared" si="35"/>
        <v>177.58658943871529</v>
      </c>
      <c r="Z18" s="395">
        <f t="shared" si="36"/>
        <v>-110.61271232602651</v>
      </c>
      <c r="AA18" s="396">
        <f t="shared" si="37"/>
        <v>42.013969539868057</v>
      </c>
      <c r="AB18" s="396">
        <f t="shared" si="38"/>
        <v>-270.49237195828238</v>
      </c>
      <c r="AC18" s="397">
        <f t="shared" si="39"/>
        <v>-107.29309870088771</v>
      </c>
    </row>
    <row r="19" spans="2:29" x14ac:dyDescent="0.35">
      <c r="B19" s="418"/>
      <c r="C19" s="424" t="s">
        <v>612</v>
      </c>
      <c r="D19" s="372" t="s">
        <v>271</v>
      </c>
      <c r="E19" s="407">
        <v>0.23499999999999999</v>
      </c>
      <c r="F19" s="407">
        <v>30</v>
      </c>
      <c r="G19" s="407">
        <v>122</v>
      </c>
      <c r="I19" s="367">
        <f t="shared" si="16"/>
        <v>2024</v>
      </c>
      <c r="J19" s="385">
        <f t="shared" si="20"/>
        <v>-2.3987045999999976</v>
      </c>
      <c r="K19" s="386">
        <f t="shared" si="21"/>
        <v>-2.159992835820892</v>
      </c>
      <c r="L19" s="386">
        <f t="shared" si="22"/>
        <v>-3.9765059714285744</v>
      </c>
      <c r="M19" s="387">
        <f t="shared" si="23"/>
        <v>-0.95587833333333472</v>
      </c>
      <c r="N19" s="385">
        <f t="shared" si="24"/>
        <v>-1.7156539636363615</v>
      </c>
      <c r="O19" s="386">
        <f t="shared" si="25"/>
        <v>-1.6989873744521748</v>
      </c>
      <c r="P19" s="386">
        <f t="shared" si="26"/>
        <v>-4.9454181818181668</v>
      </c>
      <c r="Q19" s="387">
        <f t="shared" si="27"/>
        <v>-1.7156539636363615</v>
      </c>
      <c r="R19" s="391">
        <f t="shared" si="28"/>
        <v>-10.065161133333334</v>
      </c>
      <c r="S19" s="371">
        <f t="shared" si="29"/>
        <v>-18.317722089552234</v>
      </c>
      <c r="T19" s="371">
        <f t="shared" si="30"/>
        <v>-20.083657219047616</v>
      </c>
      <c r="U19" s="392">
        <f t="shared" si="31"/>
        <v>-7.6244257999999956</v>
      </c>
      <c r="V19" s="395">
        <f t="shared" si="32"/>
        <v>233.34332531255336</v>
      </c>
      <c r="W19" s="396">
        <f t="shared" si="33"/>
        <v>228.35199845030661</v>
      </c>
      <c r="X19" s="396">
        <f t="shared" si="34"/>
        <v>1114.3901754920764</v>
      </c>
      <c r="Y19" s="397">
        <f t="shared" si="35"/>
        <v>233.34332531255336</v>
      </c>
      <c r="Z19" s="395">
        <f t="shared" si="36"/>
        <v>-146.20683984724212</v>
      </c>
      <c r="AA19" s="396">
        <f t="shared" si="37"/>
        <v>56.018626053157412</v>
      </c>
      <c r="AB19" s="396">
        <f t="shared" si="38"/>
        <v>-348.40742635191566</v>
      </c>
      <c r="AC19" s="397">
        <f t="shared" si="39"/>
        <v>-141.80965433183121</v>
      </c>
    </row>
    <row r="20" spans="2:29" x14ac:dyDescent="0.35">
      <c r="B20" s="418"/>
      <c r="C20" s="422"/>
      <c r="D20" s="2" t="s">
        <v>272</v>
      </c>
      <c r="E20" s="78">
        <v>0.23499999999999999</v>
      </c>
      <c r="F20" s="78">
        <v>31</v>
      </c>
      <c r="G20" s="78">
        <v>130</v>
      </c>
      <c r="I20" s="367">
        <f t="shared" si="16"/>
        <v>2025</v>
      </c>
      <c r="J20" s="385">
        <f t="shared" si="20"/>
        <v>-2.9945971666666638</v>
      </c>
      <c r="K20" s="386">
        <f t="shared" si="21"/>
        <v>-2.6999910447761151</v>
      </c>
      <c r="L20" s="386">
        <f t="shared" si="22"/>
        <v>-4.9365802142857174</v>
      </c>
      <c r="M20" s="387">
        <f t="shared" si="23"/>
        <v>-1.1661641666666682</v>
      </c>
      <c r="N20" s="385">
        <f t="shared" si="24"/>
        <v>-2.1206765454545429</v>
      </c>
      <c r="O20" s="386">
        <f t="shared" si="25"/>
        <v>-2.1209231756798426</v>
      </c>
      <c r="P20" s="386">
        <f t="shared" si="26"/>
        <v>-5.9876590909090721</v>
      </c>
      <c r="Q20" s="387">
        <f t="shared" si="27"/>
        <v>-2.1206765454545429</v>
      </c>
      <c r="R20" s="391">
        <f t="shared" si="28"/>
        <v>-12.451406500000001</v>
      </c>
      <c r="S20" s="371">
        <f t="shared" si="29"/>
        <v>-22.897152611940292</v>
      </c>
      <c r="T20" s="371">
        <f t="shared" si="30"/>
        <v>-24.01925252380952</v>
      </c>
      <c r="U20" s="392">
        <f t="shared" si="31"/>
        <v>-9.3894514999999945</v>
      </c>
      <c r="V20" s="395">
        <f t="shared" si="32"/>
        <v>289.10006118639143</v>
      </c>
      <c r="W20" s="396">
        <f t="shared" si="33"/>
        <v>285.43999806288326</v>
      </c>
      <c r="X20" s="396">
        <f t="shared" si="34"/>
        <v>1371.2800725495279</v>
      </c>
      <c r="Y20" s="397">
        <f t="shared" si="35"/>
        <v>289.10006118639143</v>
      </c>
      <c r="Z20" s="395">
        <f t="shared" si="36"/>
        <v>-181.80096736845775</v>
      </c>
      <c r="AA20" s="396">
        <f t="shared" si="37"/>
        <v>70.023282566446767</v>
      </c>
      <c r="AB20" s="396">
        <f t="shared" si="38"/>
        <v>-426.32248074554894</v>
      </c>
      <c r="AC20" s="397">
        <f t="shared" si="39"/>
        <v>-176.32620996277473</v>
      </c>
    </row>
    <row r="21" spans="2:29" x14ac:dyDescent="0.35">
      <c r="B21" s="419"/>
      <c r="C21" s="428"/>
      <c r="D21" s="27" t="s">
        <v>273</v>
      </c>
      <c r="E21" s="410">
        <v>0.23699999999999999</v>
      </c>
      <c r="F21" s="410">
        <v>39</v>
      </c>
      <c r="G21" s="410">
        <v>264</v>
      </c>
      <c r="I21" s="367">
        <f t="shared" si="16"/>
        <v>2026</v>
      </c>
      <c r="J21" s="385">
        <f t="shared" si="20"/>
        <v>-3.5904897333333299</v>
      </c>
      <c r="K21" s="386">
        <f t="shared" si="21"/>
        <v>-3.2399892537313382</v>
      </c>
      <c r="L21" s="386">
        <f t="shared" si="22"/>
        <v>-5.8966544571428603</v>
      </c>
      <c r="M21" s="387">
        <f t="shared" si="23"/>
        <v>-1.3764500000000017</v>
      </c>
      <c r="N21" s="385">
        <f t="shared" si="24"/>
        <v>-2.5256991272727243</v>
      </c>
      <c r="O21" s="386">
        <f t="shared" si="25"/>
        <v>-2.5428589769075103</v>
      </c>
      <c r="P21" s="386">
        <f t="shared" si="26"/>
        <v>-7.0298999999999774</v>
      </c>
      <c r="Q21" s="387">
        <f t="shared" si="27"/>
        <v>-2.5256991272727243</v>
      </c>
      <c r="R21" s="391">
        <f t="shared" si="28"/>
        <v>-14.837651866666668</v>
      </c>
      <c r="S21" s="371">
        <f t="shared" si="29"/>
        <v>-27.476583134328351</v>
      </c>
      <c r="T21" s="371">
        <f t="shared" si="30"/>
        <v>-27.954847828571424</v>
      </c>
      <c r="U21" s="392">
        <f t="shared" si="31"/>
        <v>-11.154477199999993</v>
      </c>
      <c r="V21" s="395">
        <f t="shared" si="32"/>
        <v>344.8567970602295</v>
      </c>
      <c r="W21" s="396">
        <f t="shared" si="33"/>
        <v>342.52799767545991</v>
      </c>
      <c r="X21" s="396">
        <f t="shared" si="34"/>
        <v>1628.1699696069793</v>
      </c>
      <c r="Y21" s="397">
        <f t="shared" si="35"/>
        <v>344.8567970602295</v>
      </c>
      <c r="Z21" s="395">
        <f t="shared" si="36"/>
        <v>-217.39509488967337</v>
      </c>
      <c r="AA21" s="396">
        <f t="shared" si="37"/>
        <v>84.027939079736115</v>
      </c>
      <c r="AB21" s="396">
        <f t="shared" si="38"/>
        <v>-504.23753513918223</v>
      </c>
      <c r="AC21" s="397">
        <f t="shared" si="39"/>
        <v>-210.84276559371824</v>
      </c>
    </row>
    <row r="22" spans="2:29" x14ac:dyDescent="0.35">
      <c r="B22" s="374"/>
      <c r="C22" s="373"/>
      <c r="D22" s="2"/>
      <c r="E22" s="78"/>
      <c r="F22" s="78"/>
      <c r="G22" s="78"/>
      <c r="I22" s="367">
        <f t="shared" si="16"/>
        <v>2027</v>
      </c>
      <c r="J22" s="385">
        <f t="shared" si="20"/>
        <v>-4.1863822999999964</v>
      </c>
      <c r="K22" s="386">
        <f t="shared" si="21"/>
        <v>-3.7799874626865613</v>
      </c>
      <c r="L22" s="386">
        <f t="shared" si="22"/>
        <v>-6.8567287000000032</v>
      </c>
      <c r="M22" s="387">
        <f t="shared" si="23"/>
        <v>-1.5867358333333352</v>
      </c>
      <c r="N22" s="385">
        <f t="shared" si="24"/>
        <v>-2.9307217090909057</v>
      </c>
      <c r="O22" s="386">
        <f t="shared" si="25"/>
        <v>-2.964794778135178</v>
      </c>
      <c r="P22" s="386">
        <f t="shared" si="26"/>
        <v>-8.0721409090908836</v>
      </c>
      <c r="Q22" s="387">
        <f t="shared" si="27"/>
        <v>-2.9307217090909057</v>
      </c>
      <c r="R22" s="391">
        <f t="shared" si="28"/>
        <v>-17.223897233333336</v>
      </c>
      <c r="S22" s="371">
        <f t="shared" si="29"/>
        <v>-32.056013656716409</v>
      </c>
      <c r="T22" s="371">
        <f t="shared" si="30"/>
        <v>-31.890443133333328</v>
      </c>
      <c r="U22" s="392">
        <f t="shared" si="31"/>
        <v>-12.919502899999992</v>
      </c>
      <c r="V22" s="395">
        <f t="shared" si="32"/>
        <v>400.61353293406756</v>
      </c>
      <c r="W22" s="396">
        <f t="shared" si="33"/>
        <v>399.61599728803657</v>
      </c>
      <c r="X22" s="396">
        <f t="shared" si="34"/>
        <v>1885.0598666644307</v>
      </c>
      <c r="Y22" s="397">
        <f t="shared" si="35"/>
        <v>400.61353293406756</v>
      </c>
      <c r="Z22" s="395">
        <f t="shared" si="36"/>
        <v>-252.989222410889</v>
      </c>
      <c r="AA22" s="396">
        <f t="shared" si="37"/>
        <v>98.032595593025462</v>
      </c>
      <c r="AB22" s="396">
        <f t="shared" si="38"/>
        <v>-582.15258953281545</v>
      </c>
      <c r="AC22" s="397">
        <f t="shared" si="39"/>
        <v>-245.35932122466176</v>
      </c>
    </row>
    <row r="23" spans="2:29" ht="17.25" customHeight="1" x14ac:dyDescent="0.35">
      <c r="B23" s="420" t="s">
        <v>625</v>
      </c>
      <c r="C23" s="421" t="s">
        <v>286</v>
      </c>
      <c r="D23" s="370" t="s">
        <v>271</v>
      </c>
      <c r="E23" s="378">
        <f>S2_BaseLowNGNoHydro!$K$8</f>
        <v>14.10284</v>
      </c>
      <c r="F23" s="378">
        <f>S2_BaseLowNGNoHydro!K$13</f>
        <v>53.835350000000005</v>
      </c>
      <c r="G23" s="378">
        <f>S2_BaseLowNGNoHydro!$K$23</f>
        <v>60.978319999999989</v>
      </c>
      <c r="I23" s="367">
        <f>I22+1</f>
        <v>2028</v>
      </c>
      <c r="J23" s="385">
        <f t="shared" si="20"/>
        <v>-4.782274866666663</v>
      </c>
      <c r="K23" s="386">
        <f t="shared" si="21"/>
        <v>-4.3199856716417839</v>
      </c>
      <c r="L23" s="386">
        <f t="shared" si="22"/>
        <v>-7.8168029428571462</v>
      </c>
      <c r="M23" s="387">
        <f t="shared" si="23"/>
        <v>-1.7970216666666687</v>
      </c>
      <c r="N23" s="385">
        <f t="shared" si="24"/>
        <v>-3.3357442909090871</v>
      </c>
      <c r="O23" s="386">
        <f t="shared" si="25"/>
        <v>-3.3867305793628457</v>
      </c>
      <c r="P23" s="386">
        <f t="shared" si="26"/>
        <v>-9.1143818181817888</v>
      </c>
      <c r="Q23" s="387">
        <f t="shared" si="27"/>
        <v>-3.3357442909090871</v>
      </c>
      <c r="R23" s="391">
        <f t="shared" si="28"/>
        <v>-19.610142600000003</v>
      </c>
      <c r="S23" s="371">
        <f t="shared" si="29"/>
        <v>-36.635444179104468</v>
      </c>
      <c r="T23" s="371">
        <f t="shared" si="30"/>
        <v>-35.826038438095232</v>
      </c>
      <c r="U23" s="392">
        <f t="shared" si="31"/>
        <v>-14.684528599999991</v>
      </c>
      <c r="V23" s="395">
        <f t="shared" si="32"/>
        <v>456.37026880790563</v>
      </c>
      <c r="W23" s="396">
        <f t="shared" si="33"/>
        <v>456.70399690061322</v>
      </c>
      <c r="X23" s="396">
        <f t="shared" si="34"/>
        <v>2141.9497637218824</v>
      </c>
      <c r="Y23" s="397">
        <f t="shared" si="35"/>
        <v>456.37026880790563</v>
      </c>
      <c r="Z23" s="395">
        <f t="shared" si="36"/>
        <v>-288.58334993210462</v>
      </c>
      <c r="AA23" s="396">
        <f t="shared" si="37"/>
        <v>112.03725210631481</v>
      </c>
      <c r="AB23" s="396">
        <f t="shared" si="38"/>
        <v>-660.06764392644868</v>
      </c>
      <c r="AC23" s="397">
        <f t="shared" si="39"/>
        <v>-279.87587685560527</v>
      </c>
    </row>
    <row r="24" spans="2:29" x14ac:dyDescent="0.35">
      <c r="B24" s="418"/>
      <c r="C24" s="422"/>
      <c r="D24" s="2" t="s">
        <v>272</v>
      </c>
      <c r="E24" s="366">
        <f>S1_BaseRefNGNoHydro!$K$8</f>
        <v>14.10284</v>
      </c>
      <c r="F24" s="366">
        <f>S1_BaseRefNGNoHydro!K$13</f>
        <v>53.835350000000005</v>
      </c>
      <c r="G24" s="366">
        <f>S1_BaseRefNGNoHydro!$K$23</f>
        <v>60.978319999999989</v>
      </c>
      <c r="I24" s="367">
        <f t="shared" si="16"/>
        <v>2029</v>
      </c>
      <c r="J24" s="385">
        <f t="shared" si="20"/>
        <v>-5.3781674333333296</v>
      </c>
      <c r="K24" s="386">
        <f t="shared" si="21"/>
        <v>-4.8599838805970066</v>
      </c>
      <c r="L24" s="386">
        <f t="shared" si="22"/>
        <v>-8.7768771857142891</v>
      </c>
      <c r="M24" s="387">
        <f t="shared" si="23"/>
        <v>-2.0073075000000022</v>
      </c>
      <c r="N24" s="385">
        <f t="shared" si="24"/>
        <v>-3.7407668727272685</v>
      </c>
      <c r="O24" s="386">
        <f t="shared" si="25"/>
        <v>-3.8086663805905134</v>
      </c>
      <c r="P24" s="386">
        <f t="shared" si="26"/>
        <v>-10.156622727272694</v>
      </c>
      <c r="Q24" s="387">
        <f t="shared" si="27"/>
        <v>-3.7407668727272685</v>
      </c>
      <c r="R24" s="391">
        <f t="shared" si="28"/>
        <v>-21.996387966666671</v>
      </c>
      <c r="S24" s="371">
        <f t="shared" si="29"/>
        <v>-41.214874701492526</v>
      </c>
      <c r="T24" s="371">
        <f t="shared" si="30"/>
        <v>-39.761633742857136</v>
      </c>
      <c r="U24" s="392">
        <f t="shared" si="31"/>
        <v>-16.449554299999992</v>
      </c>
      <c r="V24" s="395">
        <f t="shared" si="32"/>
        <v>512.12700468174376</v>
      </c>
      <c r="W24" s="396">
        <f t="shared" si="33"/>
        <v>513.79199651318982</v>
      </c>
      <c r="X24" s="396">
        <f t="shared" si="34"/>
        <v>2398.8396607793338</v>
      </c>
      <c r="Y24" s="397">
        <f t="shared" si="35"/>
        <v>512.12700468174376</v>
      </c>
      <c r="Z24" s="395">
        <f t="shared" si="36"/>
        <v>-324.17747745332025</v>
      </c>
      <c r="AA24" s="396">
        <f t="shared" si="37"/>
        <v>126.04190861960416</v>
      </c>
      <c r="AB24" s="396">
        <f t="shared" si="38"/>
        <v>-737.98269832008191</v>
      </c>
      <c r="AC24" s="397">
        <f t="shared" si="39"/>
        <v>-314.39243248654878</v>
      </c>
    </row>
    <row r="25" spans="2:29" x14ac:dyDescent="0.35">
      <c r="B25" s="418"/>
      <c r="C25" s="422"/>
      <c r="D25" s="2" t="s">
        <v>273</v>
      </c>
      <c r="E25" s="366">
        <f>S3_BaseHighNGNoHydro!$K$8</f>
        <v>14.10284</v>
      </c>
      <c r="F25" s="366">
        <f>S3_BaseHighNGNoHydro!K$13</f>
        <v>52.320040000000006</v>
      </c>
      <c r="G25" s="366">
        <f>S3_BaseHighNGNoHydro!$K$23</f>
        <v>57.198320000000002</v>
      </c>
      <c r="I25" s="367">
        <f t="shared" si="16"/>
        <v>2030</v>
      </c>
      <c r="J25" s="383">
        <f t="shared" ref="J25:M25" si="40">INDEX($E$39:$G$42,MATCH(J$27,$D$39:$D$42,0),MATCH($I25,$E$8:$G$8,0))</f>
        <v>-5.9740599999999944</v>
      </c>
      <c r="K25" s="281">
        <f t="shared" si="40"/>
        <v>-5.3999820895522301</v>
      </c>
      <c r="L25" s="281">
        <f t="shared" si="40"/>
        <v>-9.7369514285714338</v>
      </c>
      <c r="M25" s="384">
        <f t="shared" si="40"/>
        <v>-2.217593333333336</v>
      </c>
      <c r="N25" s="383">
        <f>INDEX($E$44:$G$47,MATCH(N$27,$D$44:$D$47,0),MATCH($I25,$E$8:$G$8,0))</f>
        <v>-4.1457894545454499</v>
      </c>
      <c r="O25" s="281">
        <f>INDEX($E$44:$G$47,MATCH(O$27,$D$44:$D$47,0),MATCH($I25,$E$8:$G$8,0))</f>
        <v>-4.2306021818181803</v>
      </c>
      <c r="P25" s="281">
        <f>INDEX($E$44:$G$47,MATCH(P$27,$D$44:$D$47,0),MATCH($I25,$E$8:$G$8,0))</f>
        <v>-11.198863636363599</v>
      </c>
      <c r="Q25" s="384">
        <f>INDEX($E$44:$G$47,MATCH(Q$27,$D$44:$D$47,0),MATCH($I25,$E$8:$G$8,0))</f>
        <v>-4.1457894545454499</v>
      </c>
      <c r="R25" s="389">
        <f t="shared" ref="R25:U25" si="41">INDEX($E$65:$G$68,MATCH(R$27,$D$65:$D$68,0),MATCH($I25,$E$8:$G$8,0))</f>
        <v>-24.382633333333331</v>
      </c>
      <c r="S25" s="103">
        <f t="shared" si="41"/>
        <v>-45.794305223880585</v>
      </c>
      <c r="T25" s="103">
        <f t="shared" si="41"/>
        <v>-43.697229047619032</v>
      </c>
      <c r="U25" s="390">
        <f t="shared" si="41"/>
        <v>-18.214579999999991</v>
      </c>
      <c r="V25" s="149">
        <f>INDEX($E$70:$G$73,MATCH(V$27,$D$70:$D$73,0),MATCH($I25,$E$8:$G$8,0))</f>
        <v>567.88374055558188</v>
      </c>
      <c r="W25" s="83">
        <f>INDEX($E$70:$G$73,MATCH(W$27,$D$70:$D$73,0),MATCH($I25,$E$8:$G$8,0))</f>
        <v>570.87999612576652</v>
      </c>
      <c r="X25" s="83">
        <f>INDEX($E$70:$G$73,MATCH(X$27,$D$70:$D$73,0),MATCH($I25,$E$8:$G$8,0))</f>
        <v>2655.7295578367853</v>
      </c>
      <c r="Y25" s="85">
        <f>INDEX($E$70:$G$73,MATCH(Y$27,$D$70:$D$73,0),MATCH($I25,$E$8:$G$8,0))</f>
        <v>567.88374055558188</v>
      </c>
      <c r="Z25" s="149">
        <f t="shared" ref="Z25:AC25" si="42">INDEX($E$91:$G$94,MATCH(Z$27,$D$91:$D$94,0),MATCH($I25,$E$8:$G$8,0))</f>
        <v>-359.77160497453588</v>
      </c>
      <c r="AA25" s="83">
        <f t="shared" si="42"/>
        <v>140.04656513289353</v>
      </c>
      <c r="AB25" s="83">
        <f t="shared" si="42"/>
        <v>-815.89775271371536</v>
      </c>
      <c r="AC25" s="85">
        <f t="shared" si="42"/>
        <v>-348.9089881174923</v>
      </c>
    </row>
    <row r="26" spans="2:29" x14ac:dyDescent="0.35">
      <c r="B26" s="418"/>
      <c r="C26" s="423"/>
      <c r="D26" s="65" t="s">
        <v>350</v>
      </c>
      <c r="E26" s="366">
        <f>S4_BaseRefNGHydro!$K$8</f>
        <v>14.10284</v>
      </c>
      <c r="F26" s="366">
        <f>S4_BaseRefNGHydro!$K$13</f>
        <v>53.381320000000002</v>
      </c>
      <c r="G26" s="366">
        <f>S4_BaseRefNGHydro!$K$23</f>
        <v>52.017229999999998</v>
      </c>
    </row>
    <row r="27" spans="2:29" ht="15" customHeight="1" x14ac:dyDescent="0.35">
      <c r="B27" s="418"/>
      <c r="C27" s="424" t="s">
        <v>611</v>
      </c>
      <c r="D27" s="372" t="s">
        <v>271</v>
      </c>
      <c r="E27" s="401">
        <f>Inputs_JanElectric!H16</f>
        <v>14.10284</v>
      </c>
      <c r="F27" s="401">
        <f>Inputs_JanElectric!H21</f>
        <v>53.381320000000002</v>
      </c>
      <c r="G27" s="401">
        <f>Inputs_JanElectric!H31</f>
        <v>54.40016</v>
      </c>
      <c r="J27" s="388" t="s">
        <v>622</v>
      </c>
      <c r="K27" s="388" t="s">
        <v>621</v>
      </c>
      <c r="L27" s="388" t="s">
        <v>623</v>
      </c>
      <c r="M27" s="388" t="s">
        <v>624</v>
      </c>
      <c r="N27" s="388" t="s">
        <v>622</v>
      </c>
      <c r="O27" s="388" t="s">
        <v>621</v>
      </c>
      <c r="P27" s="388" t="s">
        <v>623</v>
      </c>
      <c r="Q27" s="388" t="s">
        <v>624</v>
      </c>
      <c r="R27" s="388" t="s">
        <v>622</v>
      </c>
      <c r="S27" s="388" t="s">
        <v>621</v>
      </c>
      <c r="T27" s="388" t="s">
        <v>623</v>
      </c>
      <c r="U27" s="388" t="s">
        <v>624</v>
      </c>
      <c r="V27" s="388" t="s">
        <v>622</v>
      </c>
      <c r="W27" s="388" t="s">
        <v>621</v>
      </c>
      <c r="X27" s="388" t="s">
        <v>623</v>
      </c>
      <c r="Y27" s="388" t="s">
        <v>624</v>
      </c>
      <c r="Z27" s="388" t="s">
        <v>622</v>
      </c>
      <c r="AA27" s="388" t="s">
        <v>621</v>
      </c>
      <c r="AB27" s="388" t="s">
        <v>623</v>
      </c>
      <c r="AC27" s="388" t="s">
        <v>624</v>
      </c>
    </row>
    <row r="28" spans="2:29" x14ac:dyDescent="0.35">
      <c r="B28" s="418"/>
      <c r="C28" s="422"/>
      <c r="D28" s="2" t="s">
        <v>272</v>
      </c>
      <c r="E28" s="366">
        <f>Inputs_JanElectric!G16</f>
        <v>14.10284</v>
      </c>
      <c r="F28" s="366">
        <f>Inputs_JanElectric!G21</f>
        <v>53.381320000000002</v>
      </c>
      <c r="G28" s="366">
        <f>Inputs_JanElectric!G31</f>
        <v>52.017229999999998</v>
      </c>
    </row>
    <row r="29" spans="2:29" x14ac:dyDescent="0.35">
      <c r="B29" s="418"/>
      <c r="C29" s="422"/>
      <c r="D29" s="2" t="s">
        <v>273</v>
      </c>
      <c r="E29" s="366">
        <f>Inputs_JanElectric!I16</f>
        <v>14.10284</v>
      </c>
      <c r="F29" s="366">
        <f>Inputs_JanElectric!I21</f>
        <v>51.866010000000003</v>
      </c>
      <c r="G29" s="366">
        <f>Inputs_JanElectric!I31</f>
        <v>48.308059999999998</v>
      </c>
    </row>
    <row r="30" spans="2:29" x14ac:dyDescent="0.35">
      <c r="B30" s="418"/>
      <c r="C30" s="422"/>
      <c r="D30" s="65" t="s">
        <v>350</v>
      </c>
      <c r="E30" s="366">
        <f>Inputs_JanElectric!J16</f>
        <v>14.10284</v>
      </c>
      <c r="F30" s="366">
        <f>Inputs_JanElectric!J21</f>
        <v>49.939269999999993</v>
      </c>
      <c r="G30" s="366">
        <f>Inputs_JanElectric!J31</f>
        <v>48.690839999999994</v>
      </c>
    </row>
    <row r="31" spans="2:29" x14ac:dyDescent="0.35">
      <c r="B31" s="418"/>
      <c r="C31" s="424" t="s">
        <v>613</v>
      </c>
      <c r="D31" s="372" t="s">
        <v>271</v>
      </c>
      <c r="E31" s="402">
        <f>E27-E23</f>
        <v>0</v>
      </c>
      <c r="F31" s="402">
        <f t="shared" ref="F31:G31" si="43">F27-F23</f>
        <v>-0.45403000000000304</v>
      </c>
      <c r="G31" s="402">
        <f t="shared" si="43"/>
        <v>-6.5781599999999898</v>
      </c>
    </row>
    <row r="32" spans="2:29" x14ac:dyDescent="0.35">
      <c r="B32" s="418"/>
      <c r="C32" s="422"/>
      <c r="D32" s="2" t="s">
        <v>272</v>
      </c>
      <c r="E32" s="403">
        <f>E28-E24</f>
        <v>0</v>
      </c>
      <c r="F32" s="403">
        <f t="shared" ref="F32:G32" si="44">F28-F24</f>
        <v>-0.45403000000000304</v>
      </c>
      <c r="G32" s="403">
        <f t="shared" si="44"/>
        <v>-8.9610899999999916</v>
      </c>
    </row>
    <row r="33" spans="2:8" x14ac:dyDescent="0.35">
      <c r="B33" s="418"/>
      <c r="C33" s="422"/>
      <c r="D33" s="2" t="s">
        <v>273</v>
      </c>
      <c r="E33" s="403">
        <f t="shared" ref="E33:G34" si="45">E29-E25</f>
        <v>0</v>
      </c>
      <c r="F33" s="403">
        <f t="shared" si="45"/>
        <v>-0.45403000000000304</v>
      </c>
      <c r="G33" s="403">
        <f t="shared" si="45"/>
        <v>-8.8902600000000049</v>
      </c>
    </row>
    <row r="34" spans="2:8" x14ac:dyDescent="0.35">
      <c r="B34" s="418"/>
      <c r="C34" s="423"/>
      <c r="D34" s="381" t="s">
        <v>350</v>
      </c>
      <c r="E34" s="404">
        <f>E30-E26</f>
        <v>0</v>
      </c>
      <c r="F34" s="404">
        <f t="shared" si="45"/>
        <v>-3.4420500000000089</v>
      </c>
      <c r="G34" s="404">
        <f t="shared" si="45"/>
        <v>-3.3263900000000035</v>
      </c>
    </row>
    <row r="35" spans="2:8" x14ac:dyDescent="0.35">
      <c r="B35" s="418"/>
      <c r="C35" s="424" t="s">
        <v>612</v>
      </c>
      <c r="D35" s="372" t="s">
        <v>271</v>
      </c>
      <c r="E35" s="402">
        <f t="shared" ref="E35:G37" si="46">E19*E31/E16</f>
        <v>0</v>
      </c>
      <c r="F35" s="402">
        <f t="shared" si="46"/>
        <v>-0.45403000000000304</v>
      </c>
      <c r="G35" s="402">
        <f t="shared" si="46"/>
        <v>-11.97814208955222</v>
      </c>
    </row>
    <row r="36" spans="2:8" x14ac:dyDescent="0.35">
      <c r="B36" s="418"/>
      <c r="C36" s="422"/>
      <c r="D36" s="2" t="s">
        <v>272</v>
      </c>
      <c r="E36" s="403">
        <f t="shared" si="46"/>
        <v>0</v>
      </c>
      <c r="F36" s="403">
        <f t="shared" si="46"/>
        <v>-0.46916433333333646</v>
      </c>
      <c r="G36" s="403">
        <f t="shared" si="46"/>
        <v>-14.935149999999986</v>
      </c>
    </row>
    <row r="37" spans="2:8" x14ac:dyDescent="0.35">
      <c r="B37" s="418"/>
      <c r="C37" s="422"/>
      <c r="D37" s="2" t="s">
        <v>273</v>
      </c>
      <c r="E37" s="403">
        <f t="shared" si="46"/>
        <v>0</v>
      </c>
      <c r="F37" s="403">
        <f t="shared" si="46"/>
        <v>-0.59023900000000395</v>
      </c>
      <c r="G37" s="403">
        <f t="shared" si="46"/>
        <v>-18.627211428571439</v>
      </c>
    </row>
    <row r="38" spans="2:8" x14ac:dyDescent="0.35">
      <c r="B38" s="418"/>
      <c r="C38" s="422"/>
      <c r="D38" s="65" t="s">
        <v>350</v>
      </c>
      <c r="E38" s="403">
        <f>E20*E34/E17</f>
        <v>0</v>
      </c>
      <c r="F38" s="403">
        <f t="shared" ref="F38:G38" si="47">F20*F34/F17</f>
        <v>-3.5567850000000094</v>
      </c>
      <c r="G38" s="403">
        <f t="shared" si="47"/>
        <v>-5.5439833333333395</v>
      </c>
    </row>
    <row r="39" spans="2:8" x14ac:dyDescent="0.35">
      <c r="B39" s="418"/>
      <c r="C39" s="417" t="s">
        <v>634</v>
      </c>
      <c r="D39" s="372" t="s">
        <v>271</v>
      </c>
      <c r="E39" s="402">
        <f>E35-E31</f>
        <v>0</v>
      </c>
      <c r="F39" s="402">
        <f t="shared" ref="F39:G39" si="48">F35-F31</f>
        <v>0</v>
      </c>
      <c r="G39" s="402">
        <f t="shared" si="48"/>
        <v>-5.3999820895522301</v>
      </c>
    </row>
    <row r="40" spans="2:8" x14ac:dyDescent="0.35">
      <c r="B40" s="418"/>
      <c r="C40" s="418"/>
      <c r="D40" s="2" t="s">
        <v>272</v>
      </c>
      <c r="E40" s="403">
        <f t="shared" ref="E40:G40" si="49">E36-E32</f>
        <v>0</v>
      </c>
      <c r="F40" s="403">
        <f t="shared" si="49"/>
        <v>-1.5134333333333416E-2</v>
      </c>
      <c r="G40" s="403">
        <f t="shared" si="49"/>
        <v>-5.9740599999999944</v>
      </c>
    </row>
    <row r="41" spans="2:8" x14ac:dyDescent="0.35">
      <c r="B41" s="418"/>
      <c r="C41" s="418"/>
      <c r="D41" s="2" t="s">
        <v>273</v>
      </c>
      <c r="E41" s="403">
        <f t="shared" ref="E41:G41" si="50">E37-E33</f>
        <v>0</v>
      </c>
      <c r="F41" s="403">
        <f t="shared" si="50"/>
        <v>-0.13620900000000091</v>
      </c>
      <c r="G41" s="403">
        <f t="shared" si="50"/>
        <v>-9.7369514285714338</v>
      </c>
    </row>
    <row r="42" spans="2:8" x14ac:dyDescent="0.35">
      <c r="B42" s="419"/>
      <c r="C42" s="419"/>
      <c r="D42" s="73" t="s">
        <v>350</v>
      </c>
      <c r="E42" s="379">
        <f t="shared" ref="E42:G42" si="51">E38-E34</f>
        <v>0</v>
      </c>
      <c r="F42" s="379">
        <f t="shared" si="51"/>
        <v>-0.11473500000000048</v>
      </c>
      <c r="G42" s="379">
        <f t="shared" si="51"/>
        <v>-2.217593333333336</v>
      </c>
    </row>
    <row r="43" spans="2:8" x14ac:dyDescent="0.35">
      <c r="B43" s="374"/>
      <c r="C43" s="373"/>
      <c r="D43" s="2"/>
      <c r="E43" s="78"/>
      <c r="F43" s="78"/>
      <c r="G43" s="78"/>
    </row>
    <row r="44" spans="2:8" x14ac:dyDescent="0.35">
      <c r="B44" s="420" t="s">
        <v>614</v>
      </c>
      <c r="C44" s="420" t="s">
        <v>634</v>
      </c>
      <c r="D44" s="376" t="s">
        <v>271</v>
      </c>
      <c r="E44" s="408">
        <v>0</v>
      </c>
      <c r="F44" s="408">
        <v>-1.1244169541504799E-2</v>
      </c>
      <c r="G44" s="408">
        <v>-4.2306021818181803</v>
      </c>
      <c r="H44" s="166"/>
    </row>
    <row r="45" spans="2:8" x14ac:dyDescent="0.35">
      <c r="B45" s="418"/>
      <c r="C45" s="418"/>
      <c r="D45" s="375" t="s">
        <v>272</v>
      </c>
      <c r="E45" s="366">
        <v>0</v>
      </c>
      <c r="F45" s="366">
        <v>-9.5563636363636406E-2</v>
      </c>
      <c r="G45" s="366">
        <v>-4.1457894545454499</v>
      </c>
      <c r="H45" s="166"/>
    </row>
    <row r="46" spans="2:8" x14ac:dyDescent="0.35">
      <c r="B46" s="418"/>
      <c r="C46" s="418"/>
      <c r="D46" s="375" t="s">
        <v>273</v>
      </c>
      <c r="E46" s="271">
        <v>0</v>
      </c>
      <c r="F46" s="271">
        <v>-0.77645454545454495</v>
      </c>
      <c r="G46" s="271">
        <v>-11.198863636363599</v>
      </c>
      <c r="H46" s="166"/>
    </row>
    <row r="47" spans="2:8" x14ac:dyDescent="0.35">
      <c r="B47" s="419"/>
      <c r="C47" s="419"/>
      <c r="D47" s="377" t="s">
        <v>350</v>
      </c>
      <c r="E47" s="379">
        <f t="shared" ref="E47:F47" si="52">E45</f>
        <v>0</v>
      </c>
      <c r="F47" s="379">
        <f t="shared" si="52"/>
        <v>-9.5563636363636406E-2</v>
      </c>
      <c r="G47" s="379">
        <f>G45</f>
        <v>-4.1457894545454499</v>
      </c>
      <c r="H47" s="166"/>
    </row>
    <row r="48" spans="2:8" x14ac:dyDescent="0.35">
      <c r="G48" s="380"/>
    </row>
    <row r="49" spans="2:9" ht="17.25" customHeight="1" x14ac:dyDescent="0.35">
      <c r="B49" s="420" t="s">
        <v>626</v>
      </c>
      <c r="C49" s="421" t="s">
        <v>286</v>
      </c>
      <c r="D49" s="370" t="s">
        <v>271</v>
      </c>
      <c r="E49" s="378">
        <f>Inputs_AnnualElectric!$F$16*10^-6</f>
        <v>191.60557</v>
      </c>
      <c r="F49" s="378">
        <f>Inputs_AnnualElectric!$F$21*10^-6</f>
        <v>290.60372999999998</v>
      </c>
      <c r="G49" s="378">
        <f>Inputs_AnnualElectric!$F$31*10^-6</f>
        <v>294.49991999999997</v>
      </c>
      <c r="I49" s="108"/>
    </row>
    <row r="50" spans="2:9" x14ac:dyDescent="0.35">
      <c r="B50" s="418"/>
      <c r="C50" s="422"/>
      <c r="D50" s="2" t="s">
        <v>272</v>
      </c>
      <c r="E50" s="366">
        <f>Inputs_AnnualElectric!$C$16*10^-6</f>
        <v>181.31131999999999</v>
      </c>
      <c r="F50" s="366">
        <f>Inputs_AnnualElectric!$C$21*10^-6</f>
        <v>255.78386999999998</v>
      </c>
      <c r="G50" s="366">
        <f>Inputs_AnnualElectric!$C$31*10^-6</f>
        <v>260.96051999999997</v>
      </c>
    </row>
    <row r="51" spans="2:9" x14ac:dyDescent="0.35">
      <c r="B51" s="418"/>
      <c r="C51" s="422"/>
      <c r="D51" s="2" t="s">
        <v>273</v>
      </c>
      <c r="E51" s="366">
        <f>Inputs_AnnualElectric!$I$16*10^-6</f>
        <v>181.64122999999998</v>
      </c>
      <c r="F51" s="366">
        <f>Inputs_AnnualElectric!$I$21*10^-6</f>
        <v>251.26518999999999</v>
      </c>
      <c r="G51" s="366">
        <f>Inputs_AnnualElectric!$I$31*10^-6</f>
        <v>243.70029</v>
      </c>
    </row>
    <row r="52" spans="2:9" x14ac:dyDescent="0.35">
      <c r="B52" s="418"/>
      <c r="C52" s="423"/>
      <c r="D52" s="65" t="s">
        <v>350</v>
      </c>
      <c r="E52" s="366">
        <f>Inputs_AnnualElectric!$L$16*10^-6</f>
        <v>181.31131999999999</v>
      </c>
      <c r="F52" s="366">
        <f>Inputs_AnnualElectric!$L$21*10^-6</f>
        <v>232.26021</v>
      </c>
      <c r="G52" s="366">
        <f>Inputs_AnnualElectric!$L$31*10^-6</f>
        <v>227.84047999999999</v>
      </c>
    </row>
    <row r="53" spans="2:9" x14ac:dyDescent="0.35">
      <c r="B53" s="418"/>
      <c r="C53" s="424" t="s">
        <v>611</v>
      </c>
      <c r="D53" s="372" t="s">
        <v>271</v>
      </c>
      <c r="E53" s="401">
        <f>Inputs_AnnualElectric!$R$16*10^-6</f>
        <v>181.64759999999998</v>
      </c>
      <c r="F53" s="401">
        <f>Inputs_AnnualElectric!$R$21*10^-6</f>
        <v>245.24121</v>
      </c>
      <c r="G53" s="401">
        <f>Inputs_AnnualElectric!$R$31*10^-6</f>
        <v>238.71412999999998</v>
      </c>
    </row>
    <row r="54" spans="2:9" x14ac:dyDescent="0.35">
      <c r="B54" s="418"/>
      <c r="C54" s="422"/>
      <c r="D54" s="2" t="s">
        <v>272</v>
      </c>
      <c r="E54" s="366">
        <f>Inputs_AnnualElectric!$O$16*10^-6</f>
        <v>181.64759999999998</v>
      </c>
      <c r="F54" s="366">
        <f>Inputs_AnnualElectric!$O$21*10^-6</f>
        <v>240.17847999999998</v>
      </c>
      <c r="G54" s="366">
        <f>Inputs_AnnualElectric!$O$31*10^-6</f>
        <v>224.38656999999998</v>
      </c>
    </row>
    <row r="55" spans="2:9" x14ac:dyDescent="0.35">
      <c r="B55" s="418"/>
      <c r="C55" s="422"/>
      <c r="D55" s="2" t="s">
        <v>273</v>
      </c>
      <c r="E55" s="366">
        <f>Inputs_AnnualElectric!$U$16*10^-6</f>
        <v>182.04809</v>
      </c>
      <c r="F55" s="366">
        <f>Inputs_AnnualElectric!$U$21*10^-6</f>
        <v>236.79426999999998</v>
      </c>
      <c r="G55" s="366">
        <f>Inputs_AnnualElectric!$U$31*10^-6</f>
        <v>203.80282</v>
      </c>
    </row>
    <row r="56" spans="2:9" x14ac:dyDescent="0.35">
      <c r="B56" s="418"/>
      <c r="C56" s="422"/>
      <c r="D56" s="65" t="s">
        <v>350</v>
      </c>
      <c r="E56" s="366">
        <f>Inputs_AnnualElectric!$X$16*10^-6</f>
        <v>181.64759999999998</v>
      </c>
      <c r="F56" s="366">
        <f>Inputs_AnnualElectric!$X$21*10^-6</f>
        <v>215.33051999999998</v>
      </c>
      <c r="G56" s="366">
        <f>Inputs_AnnualElectric!$X$31*10^-6</f>
        <v>200.51861</v>
      </c>
    </row>
    <row r="57" spans="2:9" x14ac:dyDescent="0.35">
      <c r="B57" s="418"/>
      <c r="C57" s="424" t="s">
        <v>613</v>
      </c>
      <c r="D57" s="372" t="s">
        <v>271</v>
      </c>
      <c r="E57" s="402">
        <f>E53-E49</f>
        <v>-9.9579700000000173</v>
      </c>
      <c r="F57" s="402">
        <f>F53-F49</f>
        <v>-45.362519999999989</v>
      </c>
      <c r="G57" s="402">
        <f>G53-G49</f>
        <v>-55.785789999999992</v>
      </c>
    </row>
    <row r="58" spans="2:9" x14ac:dyDescent="0.35">
      <c r="B58" s="418"/>
      <c r="C58" s="422"/>
      <c r="D58" s="2" t="s">
        <v>272</v>
      </c>
      <c r="E58" s="403">
        <f>E54-E50</f>
        <v>0.33627999999998792</v>
      </c>
      <c r="F58" s="403">
        <f t="shared" ref="F58:G58" si="53">F54-F50</f>
        <v>-15.60539</v>
      </c>
      <c r="G58" s="403">
        <f t="shared" si="53"/>
        <v>-36.573949999999996</v>
      </c>
    </row>
    <row r="59" spans="2:9" x14ac:dyDescent="0.35">
      <c r="B59" s="418"/>
      <c r="C59" s="422"/>
      <c r="D59" s="2" t="s">
        <v>273</v>
      </c>
      <c r="E59" s="403">
        <f t="shared" ref="E59:F59" si="54">E55-E51</f>
        <v>0.40686000000002309</v>
      </c>
      <c r="F59" s="403">
        <f t="shared" si="54"/>
        <v>-14.470920000000007</v>
      </c>
      <c r="G59" s="403">
        <f>G55-G51</f>
        <v>-39.897469999999998</v>
      </c>
    </row>
    <row r="60" spans="2:9" x14ac:dyDescent="0.35">
      <c r="B60" s="418"/>
      <c r="C60" s="423"/>
      <c r="D60" s="381" t="s">
        <v>350</v>
      </c>
      <c r="E60" s="404">
        <f>E56-E52</f>
        <v>0.33627999999998792</v>
      </c>
      <c r="F60" s="404">
        <f t="shared" ref="F60:G60" si="55">F56-F52</f>
        <v>-16.929690000000022</v>
      </c>
      <c r="G60" s="404">
        <f t="shared" si="55"/>
        <v>-27.32186999999999</v>
      </c>
    </row>
    <row r="61" spans="2:9" ht="17.25" customHeight="1" x14ac:dyDescent="0.35">
      <c r="B61" s="418"/>
      <c r="C61" s="424" t="s">
        <v>612</v>
      </c>
      <c r="D61" s="372" t="s">
        <v>271</v>
      </c>
      <c r="E61" s="402">
        <f t="shared" ref="E61:G62" si="56">E19*E57/E16</f>
        <v>-9.9579700000000173</v>
      </c>
      <c r="F61" s="402">
        <f t="shared" si="56"/>
        <v>-45.362519999999989</v>
      </c>
      <c r="G61" s="402">
        <f t="shared" si="56"/>
        <v>-101.58009522388058</v>
      </c>
    </row>
    <row r="62" spans="2:9" x14ac:dyDescent="0.35">
      <c r="B62" s="418"/>
      <c r="C62" s="422"/>
      <c r="D62" s="2" t="s">
        <v>272</v>
      </c>
      <c r="E62" s="403">
        <f t="shared" si="56"/>
        <v>0.33627999999998792</v>
      </c>
      <c r="F62" s="403">
        <f t="shared" si="56"/>
        <v>-16.125569666666667</v>
      </c>
      <c r="G62" s="403">
        <f t="shared" si="56"/>
        <v>-60.956583333333327</v>
      </c>
    </row>
    <row r="63" spans="2:9" x14ac:dyDescent="0.35">
      <c r="B63" s="418"/>
      <c r="C63" s="422"/>
      <c r="D63" s="2" t="s">
        <v>273</v>
      </c>
      <c r="E63" s="403">
        <f t="shared" ref="E63:G63" si="57">E21*E59/E18</f>
        <v>0.40686000000002309</v>
      </c>
      <c r="F63" s="403">
        <f t="shared" si="57"/>
        <v>-18.812196000000011</v>
      </c>
      <c r="G63" s="403">
        <f t="shared" si="57"/>
        <v>-83.594699047619031</v>
      </c>
    </row>
    <row r="64" spans="2:9" x14ac:dyDescent="0.35">
      <c r="B64" s="418"/>
      <c r="C64" s="422"/>
      <c r="D64" s="65" t="s">
        <v>350</v>
      </c>
      <c r="E64" s="403">
        <f t="shared" ref="E64:F64" si="58">E20*E60/E17</f>
        <v>0.33627999999998792</v>
      </c>
      <c r="F64" s="403">
        <f t="shared" si="58"/>
        <v>-17.49401300000002</v>
      </c>
      <c r="G64" s="403">
        <f>G20*G60/G17</f>
        <v>-45.536449999999981</v>
      </c>
    </row>
    <row r="65" spans="2:7" ht="17.25" customHeight="1" x14ac:dyDescent="0.35">
      <c r="B65" s="418"/>
      <c r="C65" s="417" t="s">
        <v>634</v>
      </c>
      <c r="D65" s="372" t="s">
        <v>271</v>
      </c>
      <c r="E65" s="402">
        <f>E61-E57</f>
        <v>0</v>
      </c>
      <c r="F65" s="402">
        <f t="shared" ref="F65:G65" si="59">F61-F57</f>
        <v>0</v>
      </c>
      <c r="G65" s="402">
        <f t="shared" si="59"/>
        <v>-45.794305223880585</v>
      </c>
    </row>
    <row r="66" spans="2:7" x14ac:dyDescent="0.35">
      <c r="B66" s="418"/>
      <c r="C66" s="418"/>
      <c r="D66" s="2" t="s">
        <v>272</v>
      </c>
      <c r="E66" s="403">
        <f t="shared" ref="E66:G66" si="60">E62-E58</f>
        <v>0</v>
      </c>
      <c r="F66" s="403">
        <f t="shared" si="60"/>
        <v>-0.52017966666666737</v>
      </c>
      <c r="G66" s="403">
        <f t="shared" si="60"/>
        <v>-24.382633333333331</v>
      </c>
    </row>
    <row r="67" spans="2:7" x14ac:dyDescent="0.35">
      <c r="B67" s="418"/>
      <c r="C67" s="418"/>
      <c r="D67" s="2" t="s">
        <v>273</v>
      </c>
      <c r="E67" s="403">
        <f t="shared" ref="E67:G67" si="61">E63-E59</f>
        <v>0</v>
      </c>
      <c r="F67" s="403">
        <f t="shared" si="61"/>
        <v>-4.3412760000000041</v>
      </c>
      <c r="G67" s="403">
        <f t="shared" si="61"/>
        <v>-43.697229047619032</v>
      </c>
    </row>
    <row r="68" spans="2:7" x14ac:dyDescent="0.35">
      <c r="B68" s="419"/>
      <c r="C68" s="419"/>
      <c r="D68" s="73" t="s">
        <v>350</v>
      </c>
      <c r="E68" s="379">
        <f t="shared" ref="E68:G68" si="62">E64-E60</f>
        <v>0</v>
      </c>
      <c r="F68" s="379">
        <f t="shared" si="62"/>
        <v>-0.56432299999999813</v>
      </c>
      <c r="G68" s="379">
        <f t="shared" si="62"/>
        <v>-18.214579999999991</v>
      </c>
    </row>
    <row r="70" spans="2:7" x14ac:dyDescent="0.35">
      <c r="B70" s="420" t="s">
        <v>629</v>
      </c>
      <c r="C70" s="420" t="s">
        <v>634</v>
      </c>
      <c r="D70" s="370" t="s">
        <v>271</v>
      </c>
      <c r="E70" s="409">
        <v>0</v>
      </c>
      <c r="F70" s="409">
        <v>0</v>
      </c>
      <c r="G70" s="409">
        <v>570.87999612576652</v>
      </c>
    </row>
    <row r="71" spans="2:7" x14ac:dyDescent="0.35">
      <c r="B71" s="418"/>
      <c r="C71" s="418"/>
      <c r="D71" s="2" t="s">
        <v>272</v>
      </c>
      <c r="E71" s="83">
        <v>0</v>
      </c>
      <c r="F71" s="83">
        <v>10.31638181720105</v>
      </c>
      <c r="G71" s="83">
        <v>567.88374055558188</v>
      </c>
    </row>
    <row r="72" spans="2:7" x14ac:dyDescent="0.35">
      <c r="B72" s="418"/>
      <c r="C72" s="418"/>
      <c r="D72" s="2" t="s">
        <v>273</v>
      </c>
      <c r="E72" s="307">
        <v>0</v>
      </c>
      <c r="F72" s="307">
        <v>86.830587262270441</v>
      </c>
      <c r="G72" s="307">
        <v>2655.7295578367853</v>
      </c>
    </row>
    <row r="73" spans="2:7" x14ac:dyDescent="0.35">
      <c r="B73" s="419"/>
      <c r="C73" s="419"/>
      <c r="D73" s="73" t="s">
        <v>350</v>
      </c>
      <c r="E73" s="394">
        <f t="shared" ref="E73:F73" si="63">E71</f>
        <v>0</v>
      </c>
      <c r="F73" s="394">
        <f t="shared" si="63"/>
        <v>10.31638181720105</v>
      </c>
      <c r="G73" s="394">
        <f>G71</f>
        <v>567.88374055558188</v>
      </c>
    </row>
    <row r="75" spans="2:7" ht="17.25" customHeight="1" x14ac:dyDescent="0.35">
      <c r="B75" s="420" t="s">
        <v>632</v>
      </c>
      <c r="C75" s="421" t="s">
        <v>286</v>
      </c>
      <c r="D75" s="370" t="s">
        <v>271</v>
      </c>
      <c r="E75" s="393">
        <f>Inputs_AnnualElectric!$H$16</f>
        <v>1770.1352174727367</v>
      </c>
      <c r="F75" s="393">
        <f>Inputs_AnnualElectric!$H$21</f>
        <v>1693.5216093507638</v>
      </c>
      <c r="G75" s="393">
        <f>Inputs_AnnualElectric!$H$31</f>
        <v>2033.4636778847548</v>
      </c>
    </row>
    <row r="76" spans="2:7" x14ac:dyDescent="0.35">
      <c r="B76" s="418"/>
      <c r="C76" s="422"/>
      <c r="D76" s="2" t="s">
        <v>272</v>
      </c>
      <c r="E76" s="83">
        <f>Inputs_AnnualElectric!$E$16</f>
        <v>2181.4164934705391</v>
      </c>
      <c r="F76" s="83">
        <f>Inputs_AnnualElectric!$E$21</f>
        <v>2088.6841963391303</v>
      </c>
      <c r="G76" s="83">
        <f>Inputs_AnnualElectric!$E$31</f>
        <v>2854.8936997810042</v>
      </c>
    </row>
    <row r="77" spans="2:7" x14ac:dyDescent="0.35">
      <c r="B77" s="418"/>
      <c r="C77" s="422"/>
      <c r="D77" s="2" t="s">
        <v>273</v>
      </c>
      <c r="E77" s="83">
        <f>Inputs_AnnualElectric!$K$16</f>
        <v>2181.3591160409874</v>
      </c>
      <c r="F77" s="83">
        <f>Inputs_AnnualElectric!$K$21</f>
        <v>2230.9716269950181</v>
      </c>
      <c r="G77" s="83">
        <f>Inputs_AnnualElectric!$K$31</f>
        <v>3179.5488272791208</v>
      </c>
    </row>
    <row r="78" spans="2:7" x14ac:dyDescent="0.35">
      <c r="B78" s="418"/>
      <c r="C78" s="423"/>
      <c r="D78" s="65" t="s">
        <v>350</v>
      </c>
      <c r="E78" s="83">
        <f>Inputs_AnnualElectric!$N$16</f>
        <v>2181.4164934705359</v>
      </c>
      <c r="F78" s="83">
        <f>Inputs_AnnualElectric!$N$21</f>
        <v>1988.8573947366281</v>
      </c>
      <c r="G78" s="83">
        <f>Inputs_AnnualElectric!$N$31</f>
        <v>2589.2444637049443</v>
      </c>
    </row>
    <row r="79" spans="2:7" x14ac:dyDescent="0.35">
      <c r="B79" s="418"/>
      <c r="C79" s="424" t="s">
        <v>611</v>
      </c>
      <c r="D79" s="372" t="s">
        <v>271</v>
      </c>
      <c r="E79" s="398">
        <f>Inputs_AnnualElectric!$T$16</f>
        <v>2278.974980737858</v>
      </c>
      <c r="F79" s="398">
        <f>Inputs_AnnualElectric!$T$21</f>
        <v>1998.2500340023551</v>
      </c>
      <c r="G79" s="398">
        <f>Inputs_AnnualElectric!$T$31</f>
        <v>2204.0658572284615</v>
      </c>
    </row>
    <row r="80" spans="2:7" x14ac:dyDescent="0.35">
      <c r="B80" s="418"/>
      <c r="C80" s="422"/>
      <c r="D80" s="2" t="s">
        <v>272</v>
      </c>
      <c r="E80" s="83">
        <f>Inputs_AnnualElectric!$Q$16</f>
        <v>2190.7641072519523</v>
      </c>
      <c r="F80" s="83">
        <f>Inputs_AnnualElectric!$Q$21</f>
        <v>1973.7743034677414</v>
      </c>
      <c r="G80" s="83">
        <f>Inputs_AnnualElectric!$Q$31</f>
        <v>2315.2362923192004</v>
      </c>
    </row>
    <row r="81" spans="2:7" x14ac:dyDescent="0.35">
      <c r="B81" s="418"/>
      <c r="C81" s="422"/>
      <c r="D81" s="2" t="s">
        <v>273</v>
      </c>
      <c r="E81" s="83">
        <f>Inputs_AnnualElectric!$W$16</f>
        <v>2191.2633909176807</v>
      </c>
      <c r="F81" s="83">
        <f>Inputs_AnnualElectric!$W$21</f>
        <v>2108.4809310704095</v>
      </c>
      <c r="G81" s="83">
        <f>Inputs_AnnualElectric!$W$31</f>
        <v>2434.5987052361634</v>
      </c>
    </row>
    <row r="82" spans="2:7" x14ac:dyDescent="0.35">
      <c r="B82" s="418"/>
      <c r="C82" s="422"/>
      <c r="D82" s="65" t="s">
        <v>350</v>
      </c>
      <c r="E82" s="83">
        <f>Inputs_AnnualElectric!$Z$16</f>
        <v>2190.7641072519523</v>
      </c>
      <c r="F82" s="83">
        <f>Inputs_AnnualElectric!$Z$21</f>
        <v>1876.5544404949133</v>
      </c>
      <c r="G82" s="83">
        <f>Inputs_AnnualElectric!$Z$31</f>
        <v>2065.8809815287059</v>
      </c>
    </row>
    <row r="83" spans="2:7" x14ac:dyDescent="0.35">
      <c r="B83" s="418"/>
      <c r="C83" s="424" t="s">
        <v>613</v>
      </c>
      <c r="D83" s="372" t="s">
        <v>271</v>
      </c>
      <c r="E83" s="399">
        <f>E79-E75</f>
        <v>508.83976326512129</v>
      </c>
      <c r="F83" s="399">
        <f t="shared" ref="F83" si="64">F79-F75</f>
        <v>304.72842465159124</v>
      </c>
      <c r="G83" s="399">
        <f>G79-G75</f>
        <v>170.60217934370667</v>
      </c>
    </row>
    <row r="84" spans="2:7" x14ac:dyDescent="0.35">
      <c r="B84" s="418"/>
      <c r="C84" s="422"/>
      <c r="D84" s="2" t="s">
        <v>272</v>
      </c>
      <c r="E84" s="396">
        <f>E80-E76</f>
        <v>9.3476137814132017</v>
      </c>
      <c r="F84" s="396">
        <f t="shared" ref="F84" si="65">F80-F76</f>
        <v>-114.90989287138882</v>
      </c>
      <c r="G84" s="396">
        <f>G80-G76</f>
        <v>-539.65740746180381</v>
      </c>
    </row>
    <row r="85" spans="2:7" x14ac:dyDescent="0.35">
      <c r="B85" s="418"/>
      <c r="C85" s="422"/>
      <c r="D85" s="2" t="s">
        <v>273</v>
      </c>
      <c r="E85" s="396">
        <f t="shared" ref="E85:F85" si="66">E81-E77</f>
        <v>9.9042748766933073</v>
      </c>
      <c r="F85" s="396">
        <f t="shared" si="66"/>
        <v>-122.49069592460864</v>
      </c>
      <c r="G85" s="396">
        <f>G81-G77</f>
        <v>-744.95012204295745</v>
      </c>
    </row>
    <row r="86" spans="2:7" x14ac:dyDescent="0.35">
      <c r="B86" s="418"/>
      <c r="C86" s="423"/>
      <c r="D86" s="381" t="s">
        <v>350</v>
      </c>
      <c r="E86" s="400">
        <f>E82-E78</f>
        <v>9.3476137814163849</v>
      </c>
      <c r="F86" s="400">
        <f t="shared" ref="F86:G86" si="67">F82-F78</f>
        <v>-112.30295424171481</v>
      </c>
      <c r="G86" s="400">
        <f t="shared" si="67"/>
        <v>-523.36348217623845</v>
      </c>
    </row>
    <row r="87" spans="2:7" x14ac:dyDescent="0.35">
      <c r="B87" s="418"/>
      <c r="C87" s="424" t="s">
        <v>612</v>
      </c>
      <c r="D87" s="372" t="s">
        <v>271</v>
      </c>
      <c r="E87" s="399">
        <f>E19*E83/E16</f>
        <v>508.83976326512129</v>
      </c>
      <c r="F87" s="399">
        <f t="shared" ref="F87" si="68">F19*F83/F16</f>
        <v>304.72842465159124</v>
      </c>
      <c r="G87" s="399">
        <f>G19*G83/G16</f>
        <v>310.6487444766002</v>
      </c>
    </row>
    <row r="88" spans="2:7" x14ac:dyDescent="0.35">
      <c r="B88" s="418"/>
      <c r="C88" s="422"/>
      <c r="D88" s="2" t="s">
        <v>272</v>
      </c>
      <c r="E88" s="396">
        <f t="shared" ref="E88:G88" si="69">E20*E84/E17</f>
        <v>9.3476137814132017</v>
      </c>
      <c r="F88" s="396">
        <f t="shared" si="69"/>
        <v>-118.74022263376845</v>
      </c>
      <c r="G88" s="396">
        <f t="shared" si="69"/>
        <v>-899.42901243633969</v>
      </c>
    </row>
    <row r="89" spans="2:7" x14ac:dyDescent="0.35">
      <c r="B89" s="418"/>
      <c r="C89" s="422"/>
      <c r="D89" s="2" t="s">
        <v>273</v>
      </c>
      <c r="E89" s="396">
        <f>E21*E85/E18</f>
        <v>9.9042748766933073</v>
      </c>
      <c r="F89" s="396">
        <f>F21*F85/F18</f>
        <v>-159.23790470199123</v>
      </c>
      <c r="G89" s="396">
        <f>G21*G85/G18</f>
        <v>-1560.8478747566728</v>
      </c>
    </row>
    <row r="90" spans="2:7" x14ac:dyDescent="0.35">
      <c r="B90" s="418"/>
      <c r="C90" s="422"/>
      <c r="D90" s="65" t="s">
        <v>350</v>
      </c>
      <c r="E90" s="396">
        <f>E20*E86/E17</f>
        <v>9.3476137814163849</v>
      </c>
      <c r="F90" s="396">
        <f t="shared" ref="F90:G90" si="70">F20*F86/F17</f>
        <v>-116.04638604977198</v>
      </c>
      <c r="G90" s="396">
        <f t="shared" si="70"/>
        <v>-872.27247029373075</v>
      </c>
    </row>
    <row r="91" spans="2:7" x14ac:dyDescent="0.35">
      <c r="B91" s="418"/>
      <c r="C91" s="417" t="s">
        <v>634</v>
      </c>
      <c r="D91" s="372" t="s">
        <v>271</v>
      </c>
      <c r="E91" s="399">
        <f>E87-E83</f>
        <v>0</v>
      </c>
      <c r="F91" s="399">
        <f t="shared" ref="F91" si="71">F87-F83</f>
        <v>0</v>
      </c>
      <c r="G91" s="399">
        <f>G87-G83</f>
        <v>140.04656513289353</v>
      </c>
    </row>
    <row r="92" spans="2:7" x14ac:dyDescent="0.35">
      <c r="B92" s="418"/>
      <c r="C92" s="418"/>
      <c r="D92" s="2" t="s">
        <v>272</v>
      </c>
      <c r="E92" s="396">
        <f t="shared" ref="E92:F92" si="72">E88-E84</f>
        <v>0</v>
      </c>
      <c r="F92" s="396">
        <f t="shared" si="72"/>
        <v>-3.830329762379634</v>
      </c>
      <c r="G92" s="396">
        <f>G88-G84</f>
        <v>-359.77160497453588</v>
      </c>
    </row>
    <row r="93" spans="2:7" x14ac:dyDescent="0.35">
      <c r="B93" s="418"/>
      <c r="C93" s="418"/>
      <c r="D93" s="2" t="s">
        <v>273</v>
      </c>
      <c r="E93" s="396">
        <f t="shared" ref="E93:G93" si="73">E89-E85</f>
        <v>0</v>
      </c>
      <c r="F93" s="396">
        <f t="shared" si="73"/>
        <v>-36.747208777382582</v>
      </c>
      <c r="G93" s="396">
        <f t="shared" si="73"/>
        <v>-815.89775271371536</v>
      </c>
    </row>
    <row r="94" spans="2:7" x14ac:dyDescent="0.35">
      <c r="B94" s="419"/>
      <c r="C94" s="419"/>
      <c r="D94" s="73" t="s">
        <v>350</v>
      </c>
      <c r="E94" s="394">
        <f t="shared" ref="E94:G94" si="74">E90-E86</f>
        <v>0</v>
      </c>
      <c r="F94" s="394">
        <f t="shared" si="74"/>
        <v>-3.7434318080571671</v>
      </c>
      <c r="G94" s="394">
        <f t="shared" si="74"/>
        <v>-348.9089881174923</v>
      </c>
    </row>
  </sheetData>
  <mergeCells count="33">
    <mergeCell ref="B16:B21"/>
    <mergeCell ref="C16:C18"/>
    <mergeCell ref="C19:C21"/>
    <mergeCell ref="J8:M8"/>
    <mergeCell ref="R8:U8"/>
    <mergeCell ref="B9:B14"/>
    <mergeCell ref="C9:C11"/>
    <mergeCell ref="C12:C14"/>
    <mergeCell ref="Z8:AC8"/>
    <mergeCell ref="C65:C68"/>
    <mergeCell ref="B70:B73"/>
    <mergeCell ref="C70:C73"/>
    <mergeCell ref="V8:Y8"/>
    <mergeCell ref="C44:C47"/>
    <mergeCell ref="N8:Q8"/>
    <mergeCell ref="B44:B47"/>
    <mergeCell ref="C49:C52"/>
    <mergeCell ref="C53:C56"/>
    <mergeCell ref="C57:C60"/>
    <mergeCell ref="C61:C64"/>
    <mergeCell ref="C23:C26"/>
    <mergeCell ref="C27:C30"/>
    <mergeCell ref="C31:C34"/>
    <mergeCell ref="C35:C38"/>
    <mergeCell ref="C91:C94"/>
    <mergeCell ref="C39:C42"/>
    <mergeCell ref="B23:B42"/>
    <mergeCell ref="B49:B68"/>
    <mergeCell ref="B75:B94"/>
    <mergeCell ref="C75:C78"/>
    <mergeCell ref="C79:C82"/>
    <mergeCell ref="C83:C86"/>
    <mergeCell ref="C87:C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1" tint="0.499984740745262"/>
  </sheetPr>
  <dimension ref="B2:Z225"/>
  <sheetViews>
    <sheetView showGridLines="0" topLeftCell="A7" zoomScale="70" zoomScaleNormal="70" workbookViewId="0">
      <selection activeCell="D45" sqref="D45"/>
    </sheetView>
  </sheetViews>
  <sheetFormatPr defaultRowHeight="17.25" x14ac:dyDescent="0.35"/>
  <cols>
    <col min="1" max="1" width="2.625" customWidth="1"/>
    <col min="3" max="26" width="13" customWidth="1"/>
  </cols>
  <sheetData>
    <row r="2" spans="2:26" ht="21.75" x14ac:dyDescent="0.45">
      <c r="B2" s="22" t="s">
        <v>384</v>
      </c>
    </row>
    <row r="4" spans="2:26" x14ac:dyDescent="0.35">
      <c r="B4" t="s">
        <v>292</v>
      </c>
      <c r="C4" t="s">
        <v>286</v>
      </c>
      <c r="D4" t="s">
        <v>287</v>
      </c>
      <c r="E4" t="s">
        <v>288</v>
      </c>
      <c r="F4" t="s">
        <v>467</v>
      </c>
    </row>
    <row r="5" spans="2:26" x14ac:dyDescent="0.35">
      <c r="C5" t="s">
        <v>286</v>
      </c>
      <c r="D5" t="s">
        <v>293</v>
      </c>
      <c r="E5" t="s">
        <v>288</v>
      </c>
      <c r="F5" t="s">
        <v>467</v>
      </c>
    </row>
    <row r="6" spans="2:26" x14ac:dyDescent="0.35">
      <c r="C6" t="s">
        <v>286</v>
      </c>
      <c r="D6" t="s">
        <v>294</v>
      </c>
      <c r="E6" t="s">
        <v>288</v>
      </c>
      <c r="F6" t="s">
        <v>467</v>
      </c>
    </row>
    <row r="7" spans="2:26" x14ac:dyDescent="0.35">
      <c r="C7" t="s">
        <v>286</v>
      </c>
      <c r="D7" t="s">
        <v>287</v>
      </c>
      <c r="E7" t="s">
        <v>350</v>
      </c>
      <c r="F7" t="s">
        <v>467</v>
      </c>
    </row>
    <row r="8" spans="2:26" x14ac:dyDescent="0.35">
      <c r="C8" t="s">
        <v>351</v>
      </c>
      <c r="D8" t="s">
        <v>287</v>
      </c>
      <c r="E8" t="s">
        <v>288</v>
      </c>
      <c r="F8" t="s">
        <v>486</v>
      </c>
    </row>
    <row r="9" spans="2:26" x14ac:dyDescent="0.35">
      <c r="C9" t="s">
        <v>351</v>
      </c>
      <c r="D9" t="s">
        <v>293</v>
      </c>
      <c r="E9" t="s">
        <v>288</v>
      </c>
      <c r="F9" t="s">
        <v>486</v>
      </c>
    </row>
    <row r="10" spans="2:26" x14ac:dyDescent="0.35">
      <c r="C10" t="s">
        <v>351</v>
      </c>
      <c r="D10" t="s">
        <v>294</v>
      </c>
      <c r="E10" t="s">
        <v>288</v>
      </c>
      <c r="F10" t="s">
        <v>486</v>
      </c>
    </row>
    <row r="11" spans="2:26" x14ac:dyDescent="0.35">
      <c r="C11" t="s">
        <v>351</v>
      </c>
      <c r="D11" t="s">
        <v>287</v>
      </c>
      <c r="E11" t="s">
        <v>350</v>
      </c>
      <c r="F11" t="s">
        <v>486</v>
      </c>
    </row>
    <row r="13" spans="2:26" ht="21.75" x14ac:dyDescent="0.45">
      <c r="B13" s="121"/>
      <c r="C13" s="429" t="s">
        <v>289</v>
      </c>
      <c r="D13" s="430"/>
      <c r="E13" s="431"/>
      <c r="F13" s="429" t="s">
        <v>290</v>
      </c>
      <c r="G13" s="430"/>
      <c r="H13" s="431"/>
      <c r="I13" s="430" t="s">
        <v>291</v>
      </c>
      <c r="J13" s="430"/>
      <c r="K13" s="431"/>
      <c r="L13" s="430" t="s">
        <v>352</v>
      </c>
      <c r="M13" s="430"/>
      <c r="N13" s="431"/>
      <c r="O13" s="429" t="s">
        <v>376</v>
      </c>
      <c r="P13" s="430"/>
      <c r="Q13" s="431"/>
      <c r="R13" s="429" t="s">
        <v>377</v>
      </c>
      <c r="S13" s="430"/>
      <c r="T13" s="431"/>
      <c r="U13" s="430" t="s">
        <v>378</v>
      </c>
      <c r="V13" s="430"/>
      <c r="W13" s="431"/>
      <c r="X13" s="430" t="s">
        <v>379</v>
      </c>
      <c r="Y13" s="430"/>
      <c r="Z13" s="431"/>
    </row>
    <row r="14" spans="2:26" x14ac:dyDescent="0.35">
      <c r="B14" s="25"/>
      <c r="C14" s="36" t="s">
        <v>282</v>
      </c>
      <c r="D14" s="37" t="s">
        <v>283</v>
      </c>
      <c r="E14" s="46" t="s">
        <v>284</v>
      </c>
      <c r="F14" s="36" t="s">
        <v>282</v>
      </c>
      <c r="G14" s="37" t="s">
        <v>283</v>
      </c>
      <c r="H14" s="46" t="s">
        <v>284</v>
      </c>
      <c r="I14" s="37" t="s">
        <v>282</v>
      </c>
      <c r="J14" s="37" t="s">
        <v>283</v>
      </c>
      <c r="K14" s="46" t="s">
        <v>284</v>
      </c>
      <c r="L14" s="163" t="s">
        <v>282</v>
      </c>
      <c r="M14" s="163" t="s">
        <v>283</v>
      </c>
      <c r="N14" s="46" t="s">
        <v>284</v>
      </c>
      <c r="O14" s="165" t="s">
        <v>282</v>
      </c>
      <c r="P14" s="164" t="s">
        <v>283</v>
      </c>
      <c r="Q14" s="46" t="s">
        <v>284</v>
      </c>
      <c r="R14" s="165" t="s">
        <v>282</v>
      </c>
      <c r="S14" s="164" t="s">
        <v>283</v>
      </c>
      <c r="T14" s="46" t="s">
        <v>284</v>
      </c>
      <c r="U14" s="164" t="s">
        <v>282</v>
      </c>
      <c r="V14" s="164" t="s">
        <v>283</v>
      </c>
      <c r="W14" s="46" t="s">
        <v>284</v>
      </c>
      <c r="X14" s="164" t="s">
        <v>282</v>
      </c>
      <c r="Y14" s="164" t="s">
        <v>283</v>
      </c>
      <c r="Z14" s="46" t="s">
        <v>284</v>
      </c>
    </row>
    <row r="15" spans="2:26" ht="18" thickBot="1" x14ac:dyDescent="0.4">
      <c r="B15" s="122"/>
      <c r="C15" s="127" t="s">
        <v>295</v>
      </c>
      <c r="D15" s="120" t="s">
        <v>285</v>
      </c>
      <c r="E15" s="123" t="s">
        <v>112</v>
      </c>
      <c r="F15" s="127" t="s">
        <v>295</v>
      </c>
      <c r="G15" s="120" t="s">
        <v>285</v>
      </c>
      <c r="H15" s="123" t="s">
        <v>112</v>
      </c>
      <c r="I15" s="120" t="s">
        <v>295</v>
      </c>
      <c r="J15" s="120" t="s">
        <v>285</v>
      </c>
      <c r="K15" s="123" t="s">
        <v>112</v>
      </c>
      <c r="L15" s="120" t="s">
        <v>295</v>
      </c>
      <c r="M15" s="120" t="s">
        <v>285</v>
      </c>
      <c r="N15" s="123" t="s">
        <v>112</v>
      </c>
      <c r="O15" s="127" t="s">
        <v>295</v>
      </c>
      <c r="P15" s="120" t="s">
        <v>285</v>
      </c>
      <c r="Q15" s="123" t="s">
        <v>112</v>
      </c>
      <c r="R15" s="127" t="s">
        <v>295</v>
      </c>
      <c r="S15" s="120" t="s">
        <v>285</v>
      </c>
      <c r="T15" s="123" t="s">
        <v>112</v>
      </c>
      <c r="U15" s="120" t="s">
        <v>295</v>
      </c>
      <c r="V15" s="120" t="s">
        <v>285</v>
      </c>
      <c r="W15" s="123" t="s">
        <v>112</v>
      </c>
      <c r="X15" s="309" t="s">
        <v>295</v>
      </c>
      <c r="Y15" s="309" t="s">
        <v>285</v>
      </c>
      <c r="Z15" s="310" t="s">
        <v>112</v>
      </c>
    </row>
    <row r="16" spans="2:26" ht="18" thickTop="1" x14ac:dyDescent="0.35">
      <c r="B16" s="124">
        <v>2015</v>
      </c>
      <c r="C16" s="254">
        <v>181311320</v>
      </c>
      <c r="D16" s="255">
        <v>18248599.257178307</v>
      </c>
      <c r="E16" s="256">
        <v>2181.4164934705391</v>
      </c>
      <c r="F16" s="254">
        <v>191605570</v>
      </c>
      <c r="G16" s="255">
        <v>18248599.257178307</v>
      </c>
      <c r="H16" s="256">
        <v>1770.1352174727367</v>
      </c>
      <c r="I16" s="255">
        <v>181641230</v>
      </c>
      <c r="J16" s="255">
        <v>18258555.953939162</v>
      </c>
      <c r="K16" s="256">
        <v>2181.3591160409874</v>
      </c>
      <c r="L16" s="255">
        <v>181311320</v>
      </c>
      <c r="M16" s="255">
        <v>18248599.257178303</v>
      </c>
      <c r="N16" s="256">
        <v>2181.4164934705359</v>
      </c>
      <c r="O16" s="254">
        <v>181647600</v>
      </c>
      <c r="P16" s="255">
        <v>18312398.863440704</v>
      </c>
      <c r="Q16" s="256">
        <v>2190.7641072519523</v>
      </c>
      <c r="R16" s="254">
        <v>181647600</v>
      </c>
      <c r="S16" s="255">
        <v>18312398.8634407</v>
      </c>
      <c r="T16" s="256">
        <v>2278.974980737858</v>
      </c>
      <c r="U16" s="255">
        <v>182048090</v>
      </c>
      <c r="V16" s="255">
        <v>18341906.440426901</v>
      </c>
      <c r="W16" s="256">
        <v>2191.2633909176807</v>
      </c>
      <c r="X16" s="255">
        <v>181647600</v>
      </c>
      <c r="Y16" s="255">
        <v>18312398.863440704</v>
      </c>
      <c r="Z16" s="256">
        <v>2190.7641072519523</v>
      </c>
    </row>
    <row r="17" spans="2:26" x14ac:dyDescent="0.35">
      <c r="B17" s="125">
        <v>2016</v>
      </c>
      <c r="C17" s="257">
        <v>184972290</v>
      </c>
      <c r="D17" s="111">
        <v>18283062.564555988</v>
      </c>
      <c r="E17" s="258">
        <v>2300.3888023554255</v>
      </c>
      <c r="F17" s="257">
        <v>195062660</v>
      </c>
      <c r="G17" s="111">
        <v>18304040.511366148</v>
      </c>
      <c r="H17" s="258">
        <v>1849.6801863210389</v>
      </c>
      <c r="I17" s="111">
        <v>186646540</v>
      </c>
      <c r="J17" s="111">
        <v>18319874.335480545</v>
      </c>
      <c r="K17" s="258">
        <v>2312.0582574654422</v>
      </c>
      <c r="L17" s="111">
        <v>184972290</v>
      </c>
      <c r="M17" s="111">
        <v>18283062.564555995</v>
      </c>
      <c r="N17" s="258">
        <v>2300.3888023554205</v>
      </c>
      <c r="O17" s="257">
        <v>184397550</v>
      </c>
      <c r="P17" s="111">
        <v>18048623.824521348</v>
      </c>
      <c r="Q17" s="258">
        <v>2281.6532128688177</v>
      </c>
      <c r="R17" s="257">
        <v>185877570</v>
      </c>
      <c r="S17" s="111">
        <v>18076791.504641071</v>
      </c>
      <c r="T17" s="258">
        <v>2355.5497214036604</v>
      </c>
      <c r="U17" s="111">
        <v>184735810</v>
      </c>
      <c r="V17" s="111">
        <v>18104624.195513435</v>
      </c>
      <c r="W17" s="258">
        <v>2295.8315425886062</v>
      </c>
      <c r="X17" s="111">
        <v>184397550</v>
      </c>
      <c r="Y17" s="111">
        <v>18048623.824521352</v>
      </c>
      <c r="Z17" s="258">
        <v>2281.6532128688104</v>
      </c>
    </row>
    <row r="18" spans="2:26" x14ac:dyDescent="0.35">
      <c r="B18" s="125">
        <v>2017</v>
      </c>
      <c r="C18" s="257">
        <v>200451170</v>
      </c>
      <c r="D18" s="111">
        <v>17843294.807616368</v>
      </c>
      <c r="E18" s="258">
        <v>2238.9522640752789</v>
      </c>
      <c r="F18" s="257">
        <v>200451170</v>
      </c>
      <c r="G18" s="111">
        <v>17843294.807616368</v>
      </c>
      <c r="H18" s="258">
        <v>2238.9522640752789</v>
      </c>
      <c r="I18" s="111">
        <v>195047140</v>
      </c>
      <c r="J18" s="111">
        <v>17758654.564243287</v>
      </c>
      <c r="K18" s="258">
        <v>2338.1085746499052</v>
      </c>
      <c r="L18" s="111">
        <v>197081240</v>
      </c>
      <c r="M18" s="111">
        <v>17778908.580514625</v>
      </c>
      <c r="N18" s="258">
        <v>2298.2574725682002</v>
      </c>
      <c r="O18" s="257">
        <v>193082980</v>
      </c>
      <c r="P18" s="111">
        <v>17243228.57167156</v>
      </c>
      <c r="Q18" s="258">
        <v>2247.373643519129</v>
      </c>
      <c r="R18" s="257">
        <v>195649040</v>
      </c>
      <c r="S18" s="111">
        <v>17298986.493120719</v>
      </c>
      <c r="T18" s="258">
        <v>2187.2807222372253</v>
      </c>
      <c r="U18" s="111">
        <v>190924780</v>
      </c>
      <c r="V18" s="111">
        <v>17239070.764580682</v>
      </c>
      <c r="W18" s="258">
        <v>2286.2544639155808</v>
      </c>
      <c r="X18" s="111">
        <v>193082980</v>
      </c>
      <c r="Y18" s="111">
        <v>17243228.574137427</v>
      </c>
      <c r="Z18" s="258">
        <v>2247.3736457850259</v>
      </c>
    </row>
    <row r="19" spans="2:26" x14ac:dyDescent="0.35">
      <c r="B19" s="125">
        <v>2018</v>
      </c>
      <c r="C19" s="257">
        <v>199119990</v>
      </c>
      <c r="D19" s="111">
        <v>17105871.258966397</v>
      </c>
      <c r="E19" s="258">
        <v>2290.2390661060663</v>
      </c>
      <c r="F19" s="257">
        <v>199119990</v>
      </c>
      <c r="G19" s="111">
        <v>17105871.258966397</v>
      </c>
      <c r="H19" s="258">
        <v>2290.2390661060663</v>
      </c>
      <c r="I19" s="111">
        <v>195632880</v>
      </c>
      <c r="J19" s="111">
        <v>17034656.629525322</v>
      </c>
      <c r="K19" s="258">
        <v>2388.6604414057151</v>
      </c>
      <c r="L19" s="111">
        <v>177368270</v>
      </c>
      <c r="M19" s="111">
        <v>14850776.764500339</v>
      </c>
      <c r="N19" s="258">
        <v>2210.0985926641379</v>
      </c>
      <c r="O19" s="257">
        <v>189327090</v>
      </c>
      <c r="P19" s="111">
        <v>16223319.151965341</v>
      </c>
      <c r="Q19" s="258">
        <v>2294.4150882693543</v>
      </c>
      <c r="R19" s="257">
        <v>192233430</v>
      </c>
      <c r="S19" s="111">
        <v>16281270.81837528</v>
      </c>
      <c r="T19" s="258">
        <v>2202.5524095737524</v>
      </c>
      <c r="U19" s="111">
        <v>189392820</v>
      </c>
      <c r="V19" s="111">
        <v>16266866.215598311</v>
      </c>
      <c r="W19" s="258">
        <v>2301.4653343642599</v>
      </c>
      <c r="X19" s="111">
        <v>171543120</v>
      </c>
      <c r="Y19" s="111">
        <v>14034700.343889561</v>
      </c>
      <c r="Z19" s="258">
        <v>2122.6197112507971</v>
      </c>
    </row>
    <row r="20" spans="2:26" x14ac:dyDescent="0.35">
      <c r="B20" s="125">
        <v>2019</v>
      </c>
      <c r="C20" s="257">
        <v>205017020</v>
      </c>
      <c r="D20" s="111">
        <v>17407429.797873676</v>
      </c>
      <c r="E20" s="258">
        <v>2272.0285205846185</v>
      </c>
      <c r="F20" s="257">
        <v>205017020</v>
      </c>
      <c r="G20" s="111">
        <v>17407429.797873676</v>
      </c>
      <c r="H20" s="258">
        <v>2272.0285205846185</v>
      </c>
      <c r="I20" s="111">
        <v>200957270</v>
      </c>
      <c r="J20" s="111">
        <v>17325202.838594537</v>
      </c>
      <c r="K20" s="258">
        <v>2406.5038756442173</v>
      </c>
      <c r="L20" s="111">
        <v>185203530</v>
      </c>
      <c r="M20" s="111">
        <v>15115101.188870236</v>
      </c>
      <c r="N20" s="258">
        <v>2192.0652354277699</v>
      </c>
      <c r="O20" s="257">
        <v>193564060</v>
      </c>
      <c r="P20" s="111">
        <v>16189545.395525813</v>
      </c>
      <c r="Q20" s="258">
        <v>2240.6204192466262</v>
      </c>
      <c r="R20" s="257">
        <v>195889650</v>
      </c>
      <c r="S20" s="111">
        <v>16247147.978801202</v>
      </c>
      <c r="T20" s="258">
        <v>2150.7097156152954</v>
      </c>
      <c r="U20" s="111">
        <v>192302440</v>
      </c>
      <c r="V20" s="111">
        <v>16209200.04805284</v>
      </c>
      <c r="W20" s="258">
        <v>2280.5429258215022</v>
      </c>
      <c r="X20" s="111">
        <v>174919980</v>
      </c>
      <c r="Y20" s="111">
        <v>13949101.772218127</v>
      </c>
      <c r="Z20" s="258">
        <v>2071.0694561309074</v>
      </c>
    </row>
    <row r="21" spans="2:26" x14ac:dyDescent="0.35">
      <c r="B21" s="125">
        <v>2020</v>
      </c>
      <c r="C21" s="257">
        <v>255783870</v>
      </c>
      <c r="D21" s="111">
        <v>17236344.445390463</v>
      </c>
      <c r="E21" s="258">
        <v>2088.6841963391303</v>
      </c>
      <c r="F21" s="257">
        <v>290603730</v>
      </c>
      <c r="G21" s="111">
        <v>17222135.075094063</v>
      </c>
      <c r="H21" s="258">
        <v>1693.5216093507638</v>
      </c>
      <c r="I21" s="111">
        <v>251265190</v>
      </c>
      <c r="J21" s="111">
        <v>17175214.612417731</v>
      </c>
      <c r="K21" s="258">
        <v>2230.9716269950181</v>
      </c>
      <c r="L21" s="111">
        <v>232260210</v>
      </c>
      <c r="M21" s="111">
        <v>14825847.103369014</v>
      </c>
      <c r="N21" s="258">
        <v>1988.8573947366281</v>
      </c>
      <c r="O21" s="257">
        <v>240178480</v>
      </c>
      <c r="P21" s="111">
        <v>15628656.033884957</v>
      </c>
      <c r="Q21" s="258">
        <v>1973.7743034677414</v>
      </c>
      <c r="R21" s="257">
        <v>245241210</v>
      </c>
      <c r="S21" s="111">
        <v>15626375.429688798</v>
      </c>
      <c r="T21" s="258">
        <v>1998.2500340023551</v>
      </c>
      <c r="U21" s="111">
        <v>236794270</v>
      </c>
      <c r="V21" s="111">
        <v>15647288.537702285</v>
      </c>
      <c r="W21" s="258">
        <v>2108.4809310704095</v>
      </c>
      <c r="X21" s="111">
        <v>215330520</v>
      </c>
      <c r="Y21" s="111">
        <v>13259343.844381815</v>
      </c>
      <c r="Z21" s="258">
        <v>1876.5544404949133</v>
      </c>
    </row>
    <row r="22" spans="2:26" x14ac:dyDescent="0.35">
      <c r="B22" s="125">
        <v>2021</v>
      </c>
      <c r="C22" s="257">
        <v>246834540</v>
      </c>
      <c r="D22" s="111">
        <v>17096854.029630311</v>
      </c>
      <c r="E22" s="258">
        <v>2126.8356646543634</v>
      </c>
      <c r="F22" s="257">
        <v>302777700</v>
      </c>
      <c r="G22" s="111">
        <v>17005940.020828776</v>
      </c>
      <c r="H22" s="258">
        <v>1695.7469090691106</v>
      </c>
      <c r="I22" s="111">
        <v>241769670</v>
      </c>
      <c r="J22" s="111">
        <v>17024849.883469697</v>
      </c>
      <c r="K22" s="258">
        <v>2249.3982642171127</v>
      </c>
      <c r="L22" s="111">
        <v>222397150</v>
      </c>
      <c r="M22" s="111">
        <v>14747934.72151948</v>
      </c>
      <c r="N22" s="258">
        <v>2013.7996434693066</v>
      </c>
      <c r="O22" s="257">
        <v>226985910</v>
      </c>
      <c r="P22" s="111">
        <v>15207944.542247351</v>
      </c>
      <c r="Q22" s="258">
        <v>1977.3515646804526</v>
      </c>
      <c r="R22" s="257">
        <v>236663260</v>
      </c>
      <c r="S22" s="111">
        <v>15188668.855659578</v>
      </c>
      <c r="T22" s="258">
        <v>1971.1384479464725</v>
      </c>
      <c r="U22" s="111">
        <v>219262880</v>
      </c>
      <c r="V22" s="111">
        <v>14929873.787576217</v>
      </c>
      <c r="W22" s="258">
        <v>2073.9920652147021</v>
      </c>
      <c r="X22" s="111">
        <v>205427600</v>
      </c>
      <c r="Y22" s="111">
        <v>12901264.904215867</v>
      </c>
      <c r="Z22" s="258">
        <v>1867.2318574983419</v>
      </c>
    </row>
    <row r="23" spans="2:26" x14ac:dyDescent="0.35">
      <c r="B23" s="125">
        <v>2022</v>
      </c>
      <c r="C23" s="257">
        <v>233395600</v>
      </c>
      <c r="D23" s="111">
        <v>16798715.662568934</v>
      </c>
      <c r="E23" s="258">
        <v>2203.7344256112597</v>
      </c>
      <c r="F23" s="257">
        <v>299749920</v>
      </c>
      <c r="G23" s="111">
        <v>16646544.950921871</v>
      </c>
      <c r="H23" s="258">
        <v>1719.7650464329706</v>
      </c>
      <c r="I23" s="111">
        <v>227213900</v>
      </c>
      <c r="J23" s="111">
        <v>16717505.044027561</v>
      </c>
      <c r="K23" s="258">
        <v>2354.2988488858027</v>
      </c>
      <c r="L23" s="111">
        <v>191565090</v>
      </c>
      <c r="M23" s="111">
        <v>12618699.322070535</v>
      </c>
      <c r="N23" s="258">
        <v>1999.827307239434</v>
      </c>
      <c r="O23" s="257">
        <v>210011250</v>
      </c>
      <c r="P23" s="111">
        <v>14518753.891425017</v>
      </c>
      <c r="Q23" s="258">
        <v>2016.9151948124863</v>
      </c>
      <c r="R23" s="257">
        <v>220958000</v>
      </c>
      <c r="S23" s="111">
        <v>14528772.892431328</v>
      </c>
      <c r="T23" s="258">
        <v>2002.4138543242698</v>
      </c>
      <c r="U23" s="111">
        <v>202190580</v>
      </c>
      <c r="V23" s="111">
        <v>14117838.203535551</v>
      </c>
      <c r="W23" s="258">
        <v>2129.7081257853665</v>
      </c>
      <c r="X23" s="111">
        <v>173886960</v>
      </c>
      <c r="Y23" s="111">
        <v>10567820.802927693</v>
      </c>
      <c r="Z23" s="258">
        <v>1819.3609707067092</v>
      </c>
    </row>
    <row r="24" spans="2:26" x14ac:dyDescent="0.35">
      <c r="B24" s="125">
        <v>2023</v>
      </c>
      <c r="C24" s="257">
        <v>235948780</v>
      </c>
      <c r="D24" s="111">
        <v>16906576.3842921</v>
      </c>
      <c r="E24" s="258">
        <v>2287.1278502095797</v>
      </c>
      <c r="F24" s="257">
        <v>298928310</v>
      </c>
      <c r="G24" s="111">
        <v>16724236.943222402</v>
      </c>
      <c r="H24" s="258">
        <v>1766.9518665954122</v>
      </c>
      <c r="I24" s="111">
        <v>228783610</v>
      </c>
      <c r="J24" s="111">
        <v>16825932.282195471</v>
      </c>
      <c r="K24" s="258">
        <v>2465.5767461559999</v>
      </c>
      <c r="L24" s="111">
        <v>195850530</v>
      </c>
      <c r="M24" s="111">
        <v>12772990.118368376</v>
      </c>
      <c r="N24" s="258">
        <v>2076.3436372251585</v>
      </c>
      <c r="O24" s="257">
        <v>209828000</v>
      </c>
      <c r="P24" s="111">
        <v>14335877.539349375</v>
      </c>
      <c r="Q24" s="258">
        <v>2063.3160232090513</v>
      </c>
      <c r="R24" s="257">
        <v>222950340</v>
      </c>
      <c r="S24" s="111">
        <v>14339664.94345114</v>
      </c>
      <c r="T24" s="258">
        <v>2040.9227674799829</v>
      </c>
      <c r="U24" s="111">
        <v>201595450</v>
      </c>
      <c r="V24" s="111">
        <v>13762352.623270165</v>
      </c>
      <c r="W24" s="258">
        <v>2186.7375396491175</v>
      </c>
      <c r="X24" s="111">
        <v>174568850</v>
      </c>
      <c r="Y24" s="111">
        <v>10400296.081189416</v>
      </c>
      <c r="Z24" s="258">
        <v>1862.8745774480271</v>
      </c>
    </row>
    <row r="25" spans="2:26" x14ac:dyDescent="0.35">
      <c r="B25" s="125">
        <v>2024</v>
      </c>
      <c r="C25" s="257">
        <v>248222830</v>
      </c>
      <c r="D25" s="111">
        <v>16711819.687298588</v>
      </c>
      <c r="E25" s="258">
        <v>2334.4397348358907</v>
      </c>
      <c r="F25" s="257">
        <v>295310840</v>
      </c>
      <c r="G25" s="111">
        <v>16548674.37667051</v>
      </c>
      <c r="H25" s="258">
        <v>1798.0632252420469</v>
      </c>
      <c r="I25" s="111">
        <v>240705330</v>
      </c>
      <c r="J25" s="111">
        <v>16651572.183813291</v>
      </c>
      <c r="K25" s="258">
        <v>2528.3097058953758</v>
      </c>
      <c r="L25" s="111">
        <v>212940780</v>
      </c>
      <c r="M25" s="111">
        <v>12657701.115432441</v>
      </c>
      <c r="N25" s="258">
        <v>2115.8989524985445</v>
      </c>
      <c r="O25" s="257">
        <v>222414380</v>
      </c>
      <c r="P25" s="111">
        <v>13911816.179938737</v>
      </c>
      <c r="Q25" s="258">
        <v>2072.1424117586184</v>
      </c>
      <c r="R25" s="257">
        <v>234362920</v>
      </c>
      <c r="S25" s="111">
        <v>13938478.331518708</v>
      </c>
      <c r="T25" s="258">
        <v>2041.0501716581587</v>
      </c>
      <c r="U25" s="111">
        <v>209661350</v>
      </c>
      <c r="V25" s="111">
        <v>13247605.920667913</v>
      </c>
      <c r="W25" s="258">
        <v>2191.1039676666946</v>
      </c>
      <c r="X25" s="111">
        <v>192532630</v>
      </c>
      <c r="Y25" s="111">
        <v>10158269.848068055</v>
      </c>
      <c r="Z25" s="258">
        <v>1862.960986699781</v>
      </c>
    </row>
    <row r="26" spans="2:26" x14ac:dyDescent="0.35">
      <c r="B26" s="125">
        <v>2025</v>
      </c>
      <c r="C26" s="257">
        <v>254287850</v>
      </c>
      <c r="D26" s="111">
        <v>16948034.557697162</v>
      </c>
      <c r="E26" s="258">
        <v>2403.0599344367647</v>
      </c>
      <c r="F26" s="257">
        <v>296581490</v>
      </c>
      <c r="G26" s="111">
        <v>16724064.097356899</v>
      </c>
      <c r="H26" s="258">
        <v>1852.2968529026184</v>
      </c>
      <c r="I26" s="111">
        <v>243779370</v>
      </c>
      <c r="J26" s="111">
        <v>16849658.903717645</v>
      </c>
      <c r="K26" s="258">
        <v>2652.6574978037397</v>
      </c>
      <c r="L26" s="111">
        <v>216737840</v>
      </c>
      <c r="M26" s="111">
        <v>12830020.193540532</v>
      </c>
      <c r="N26" s="258">
        <v>2177.2266851484519</v>
      </c>
      <c r="O26" s="257">
        <v>223043270</v>
      </c>
      <c r="P26" s="111">
        <v>13767030.513647472</v>
      </c>
      <c r="Q26" s="258">
        <v>2096.9173362940614</v>
      </c>
      <c r="R26" s="257">
        <v>235756300</v>
      </c>
      <c r="S26" s="111">
        <v>13843759.024479162</v>
      </c>
      <c r="T26" s="258">
        <v>2053.2781739479101</v>
      </c>
      <c r="U26" s="111">
        <v>205484420</v>
      </c>
      <c r="V26" s="111">
        <v>12887492.000635136</v>
      </c>
      <c r="W26" s="258">
        <v>2244.0025111218147</v>
      </c>
      <c r="X26" s="111">
        <v>190685760</v>
      </c>
      <c r="Y26" s="111">
        <v>9994745.6782599296</v>
      </c>
      <c r="Z26" s="258">
        <v>1879.4960054006899</v>
      </c>
    </row>
    <row r="27" spans="2:26" x14ac:dyDescent="0.35">
      <c r="B27" s="125">
        <v>2026</v>
      </c>
      <c r="C27" s="257">
        <v>254776890</v>
      </c>
      <c r="D27" s="111">
        <v>16806739.795660134</v>
      </c>
      <c r="E27" s="258">
        <v>2483.6761465590157</v>
      </c>
      <c r="F27" s="257">
        <v>298819790</v>
      </c>
      <c r="G27" s="111">
        <v>16599412.294871753</v>
      </c>
      <c r="H27" s="258">
        <v>1896.5163071061781</v>
      </c>
      <c r="I27" s="111">
        <v>241126260</v>
      </c>
      <c r="J27" s="111">
        <v>16697893.32726026</v>
      </c>
      <c r="K27" s="258">
        <v>2766.2755152187847</v>
      </c>
      <c r="L27" s="111">
        <v>216739690</v>
      </c>
      <c r="M27" s="111">
        <v>12696573.127636462</v>
      </c>
      <c r="N27" s="258">
        <v>2249.662798500698</v>
      </c>
      <c r="O27" s="257">
        <v>222714570</v>
      </c>
      <c r="P27" s="111">
        <v>13393545.280090291</v>
      </c>
      <c r="Q27" s="258">
        <v>2138.8953061653701</v>
      </c>
      <c r="R27" s="257">
        <v>235282470</v>
      </c>
      <c r="S27" s="111">
        <v>13481775.911365649</v>
      </c>
      <c r="T27" s="258">
        <v>2086.9373866418127</v>
      </c>
      <c r="U27" s="111">
        <v>204755770</v>
      </c>
      <c r="V27" s="111">
        <v>12409122.696497276</v>
      </c>
      <c r="W27" s="258">
        <v>2291.7846992537125</v>
      </c>
      <c r="X27" s="111">
        <v>193352990</v>
      </c>
      <c r="Y27" s="111">
        <v>9710169.7273250911</v>
      </c>
      <c r="Z27" s="258">
        <v>1917.8921494753181</v>
      </c>
    </row>
    <row r="28" spans="2:26" x14ac:dyDescent="0.35">
      <c r="B28" s="125">
        <v>2027</v>
      </c>
      <c r="C28" s="257">
        <v>253741460</v>
      </c>
      <c r="D28" s="111">
        <v>16845592.665504865</v>
      </c>
      <c r="E28" s="258">
        <v>2546.022589859916</v>
      </c>
      <c r="F28" s="257">
        <v>296128120</v>
      </c>
      <c r="G28" s="111">
        <v>16650312.137628855</v>
      </c>
      <c r="H28" s="258">
        <v>1931.4023714755815</v>
      </c>
      <c r="I28" s="111">
        <v>238442640</v>
      </c>
      <c r="J28" s="111">
        <v>16745402.23412111</v>
      </c>
      <c r="K28" s="258">
        <v>2846.762738253492</v>
      </c>
      <c r="L28" s="111">
        <v>216527920</v>
      </c>
      <c r="M28" s="111">
        <v>12769749.062702704</v>
      </c>
      <c r="N28" s="258">
        <v>2306.5649624362181</v>
      </c>
      <c r="O28" s="257">
        <v>220262390</v>
      </c>
      <c r="P28" s="111">
        <v>13148882.771968333</v>
      </c>
      <c r="Q28" s="258">
        <v>2159.9621987833266</v>
      </c>
      <c r="R28" s="257">
        <v>232909910</v>
      </c>
      <c r="S28" s="111">
        <v>13309083.318477031</v>
      </c>
      <c r="T28" s="258">
        <v>2101.7469104529468</v>
      </c>
      <c r="U28" s="111">
        <v>197913880</v>
      </c>
      <c r="V28" s="111">
        <v>12030482.548916927</v>
      </c>
      <c r="W28" s="258">
        <v>2306.1201619173539</v>
      </c>
      <c r="X28" s="111">
        <v>189122890</v>
      </c>
      <c r="Y28" s="111">
        <v>9498011.5996931084</v>
      </c>
      <c r="Z28" s="258">
        <v>1934.1034208806832</v>
      </c>
    </row>
    <row r="29" spans="2:26" x14ac:dyDescent="0.35">
      <c r="B29" s="125">
        <v>2028</v>
      </c>
      <c r="C29" s="257">
        <v>269966790</v>
      </c>
      <c r="D29" s="111">
        <v>16960055.051864635</v>
      </c>
      <c r="E29" s="258">
        <v>2652.7945452809304</v>
      </c>
      <c r="F29" s="257">
        <v>295545220</v>
      </c>
      <c r="G29" s="111">
        <v>16807895.213404462</v>
      </c>
      <c r="H29" s="258">
        <v>1960.5888346254483</v>
      </c>
      <c r="I29" s="111">
        <v>256130290</v>
      </c>
      <c r="J29" s="111">
        <v>16928249.32309401</v>
      </c>
      <c r="K29" s="258">
        <v>2988.1196746572305</v>
      </c>
      <c r="L29" s="111">
        <v>233392670</v>
      </c>
      <c r="M29" s="111">
        <v>12879221.09782815</v>
      </c>
      <c r="N29" s="258">
        <v>2404.0220149350703</v>
      </c>
      <c r="O29" s="257">
        <v>233457400</v>
      </c>
      <c r="P29" s="111">
        <v>13013144.03791393</v>
      </c>
      <c r="Q29" s="258">
        <v>2219.4171480824361</v>
      </c>
      <c r="R29" s="257">
        <v>245976620</v>
      </c>
      <c r="S29" s="111">
        <v>13177027.14675127</v>
      </c>
      <c r="T29" s="258">
        <v>2154.6917179169304</v>
      </c>
      <c r="U29" s="111">
        <v>214016340</v>
      </c>
      <c r="V29" s="111">
        <v>11937372.117363729</v>
      </c>
      <c r="W29" s="258">
        <v>2376.8812688328426</v>
      </c>
      <c r="X29" s="111">
        <v>206457350</v>
      </c>
      <c r="Y29" s="111">
        <v>9474241.091988802</v>
      </c>
      <c r="Z29" s="258">
        <v>1988.8284848540839</v>
      </c>
    </row>
    <row r="30" spans="2:26" x14ac:dyDescent="0.35">
      <c r="B30" s="125">
        <v>2029</v>
      </c>
      <c r="C30" s="257">
        <v>274440680</v>
      </c>
      <c r="D30" s="111">
        <v>17298721.330276512</v>
      </c>
      <c r="E30" s="258">
        <v>2772.6717643776137</v>
      </c>
      <c r="F30" s="257">
        <v>296796430</v>
      </c>
      <c r="G30" s="111">
        <v>17176727.050138701</v>
      </c>
      <c r="H30" s="258">
        <v>1976.4809180027992</v>
      </c>
      <c r="I30" s="111">
        <v>257647190</v>
      </c>
      <c r="J30" s="111">
        <v>17224726.186739754</v>
      </c>
      <c r="K30" s="258">
        <v>3118.4483235672815</v>
      </c>
      <c r="L30" s="111">
        <v>236851800</v>
      </c>
      <c r="M30" s="111">
        <v>13181965.074903555</v>
      </c>
      <c r="N30" s="258">
        <v>2519.7181887219303</v>
      </c>
      <c r="O30" s="257">
        <v>235491550</v>
      </c>
      <c r="P30" s="111">
        <v>13041962.136604179</v>
      </c>
      <c r="Q30" s="258">
        <v>2288.8389417609637</v>
      </c>
      <c r="R30" s="257">
        <v>249499770</v>
      </c>
      <c r="S30" s="111">
        <v>13257073.3832894</v>
      </c>
      <c r="T30" s="258">
        <v>2200.9963449971201</v>
      </c>
      <c r="U30" s="111">
        <v>210945290</v>
      </c>
      <c r="V30" s="111">
        <v>11804747.601207633</v>
      </c>
      <c r="W30" s="258">
        <v>2440.0242131492628</v>
      </c>
      <c r="X30" s="111">
        <v>206934940</v>
      </c>
      <c r="Y30" s="111">
        <v>9461082.9830497596</v>
      </c>
      <c r="Z30" s="258">
        <v>2050.2660528937831</v>
      </c>
    </row>
    <row r="31" spans="2:26" x14ac:dyDescent="0.35">
      <c r="B31" s="126">
        <v>2030</v>
      </c>
      <c r="C31" s="259">
        <v>260960520</v>
      </c>
      <c r="D31" s="260">
        <v>16974073.056755457</v>
      </c>
      <c r="E31" s="261">
        <v>2854.8936997810042</v>
      </c>
      <c r="F31" s="259">
        <v>294499920</v>
      </c>
      <c r="G31" s="260">
        <v>16848896.444437608</v>
      </c>
      <c r="H31" s="261">
        <v>2033.4636778847548</v>
      </c>
      <c r="I31" s="260">
        <v>243700290</v>
      </c>
      <c r="J31" s="260">
        <v>16843398.512807444</v>
      </c>
      <c r="K31" s="261">
        <v>3179.5488272791208</v>
      </c>
      <c r="L31" s="260">
        <v>227840480</v>
      </c>
      <c r="M31" s="260">
        <v>13001971.554815331</v>
      </c>
      <c r="N31" s="261">
        <v>2589.2444637049443</v>
      </c>
      <c r="O31" s="259">
        <v>224386570</v>
      </c>
      <c r="P31" s="260">
        <v>12548609.646085769</v>
      </c>
      <c r="Q31" s="261">
        <v>2315.2362923192004</v>
      </c>
      <c r="R31" s="259">
        <v>238714130</v>
      </c>
      <c r="S31" s="260">
        <v>12763689.027456533</v>
      </c>
      <c r="T31" s="261">
        <v>2204.0658572284615</v>
      </c>
      <c r="U31" s="260">
        <v>203802820</v>
      </c>
      <c r="V31" s="260">
        <v>11298287.666569617</v>
      </c>
      <c r="W31" s="261">
        <v>2434.5987052361634</v>
      </c>
      <c r="X31" s="260">
        <v>200518610</v>
      </c>
      <c r="Y31" s="260">
        <v>9138715.2644911632</v>
      </c>
      <c r="Z31" s="261">
        <v>2065.8809815287059</v>
      </c>
    </row>
    <row r="33" spans="2:14" ht="18" thickBot="1" x14ac:dyDescent="0.4">
      <c r="B33" s="131"/>
      <c r="C33" s="132"/>
      <c r="D33" s="191" t="s">
        <v>296</v>
      </c>
      <c r="E33" s="133" t="s">
        <v>297</v>
      </c>
      <c r="F33" s="133" t="s">
        <v>298</v>
      </c>
      <c r="G33" s="134" t="s">
        <v>353</v>
      </c>
      <c r="H33" s="191" t="s">
        <v>380</v>
      </c>
      <c r="I33" s="133" t="s">
        <v>381</v>
      </c>
      <c r="J33" s="133" t="s">
        <v>382</v>
      </c>
      <c r="K33" s="134" t="s">
        <v>383</v>
      </c>
    </row>
    <row r="34" spans="2:14" ht="18" thickTop="1" x14ac:dyDescent="0.35">
      <c r="B34" s="25">
        <v>2015</v>
      </c>
      <c r="C34" s="78">
        <v>1</v>
      </c>
      <c r="D34" s="268">
        <v>3554370</v>
      </c>
      <c r="E34" s="116">
        <v>12301560</v>
      </c>
      <c r="F34" s="116">
        <v>3552810</v>
      </c>
      <c r="G34" s="301">
        <v>3554370</v>
      </c>
      <c r="H34" s="268">
        <v>3610840</v>
      </c>
      <c r="I34" s="116">
        <v>3610840</v>
      </c>
      <c r="J34" s="116">
        <v>3572460</v>
      </c>
      <c r="K34" s="301">
        <v>3610840</v>
      </c>
      <c r="M34" s="160"/>
      <c r="N34" s="160"/>
    </row>
    <row r="35" spans="2:14" x14ac:dyDescent="0.35">
      <c r="B35" s="25">
        <v>2015</v>
      </c>
      <c r="C35" s="78">
        <v>2</v>
      </c>
      <c r="D35" s="268">
        <v>5863510</v>
      </c>
      <c r="E35" s="116">
        <v>12255100</v>
      </c>
      <c r="F35" s="116">
        <v>5845990</v>
      </c>
      <c r="G35" s="301">
        <v>5863510</v>
      </c>
      <c r="H35" s="268">
        <v>5861430</v>
      </c>
      <c r="I35" s="116">
        <v>5861430</v>
      </c>
      <c r="J35" s="116">
        <v>5848040</v>
      </c>
      <c r="K35" s="301">
        <v>5861430</v>
      </c>
      <c r="M35" s="160"/>
      <c r="N35" s="160"/>
    </row>
    <row r="36" spans="2:14" x14ac:dyDescent="0.35">
      <c r="B36" s="25">
        <v>2015</v>
      </c>
      <c r="C36" s="78">
        <v>3</v>
      </c>
      <c r="D36" s="268">
        <v>7895290</v>
      </c>
      <c r="E36" s="116">
        <v>13335380</v>
      </c>
      <c r="F36" s="116">
        <v>7890590</v>
      </c>
      <c r="G36" s="301">
        <v>7895290</v>
      </c>
      <c r="H36" s="268">
        <v>8121550</v>
      </c>
      <c r="I36" s="116">
        <v>8121550</v>
      </c>
      <c r="J36" s="116">
        <v>7889690</v>
      </c>
      <c r="K36" s="301">
        <v>8121550</v>
      </c>
      <c r="M36" s="160"/>
      <c r="N36" s="160"/>
    </row>
    <row r="37" spans="2:14" x14ac:dyDescent="0.35">
      <c r="B37" s="25">
        <v>2015</v>
      </c>
      <c r="C37" s="78">
        <v>4</v>
      </c>
      <c r="D37" s="268">
        <v>16149520</v>
      </c>
      <c r="E37" s="116">
        <v>14000980</v>
      </c>
      <c r="F37" s="116">
        <v>16116500</v>
      </c>
      <c r="G37" s="301">
        <v>16149520</v>
      </c>
      <c r="H37" s="268">
        <v>16144380</v>
      </c>
      <c r="I37" s="116">
        <v>16144380</v>
      </c>
      <c r="J37" s="116">
        <v>16113950</v>
      </c>
      <c r="K37" s="301">
        <v>16144380</v>
      </c>
      <c r="M37" s="160"/>
      <c r="N37" s="160"/>
    </row>
    <row r="38" spans="2:14" x14ac:dyDescent="0.35">
      <c r="B38" s="25">
        <v>2015</v>
      </c>
      <c r="C38" s="78">
        <v>5</v>
      </c>
      <c r="D38" s="268">
        <v>17875540</v>
      </c>
      <c r="E38" s="116">
        <v>13637360</v>
      </c>
      <c r="F38" s="116">
        <v>17877070</v>
      </c>
      <c r="G38" s="301">
        <v>17875540</v>
      </c>
      <c r="H38" s="268">
        <v>17872650</v>
      </c>
      <c r="I38" s="116">
        <v>17872650</v>
      </c>
      <c r="J38" s="116">
        <v>17945080</v>
      </c>
      <c r="K38" s="301">
        <v>17872650</v>
      </c>
      <c r="M38" s="160"/>
      <c r="N38" s="160"/>
    </row>
    <row r="39" spans="2:14" x14ac:dyDescent="0.35">
      <c r="B39" s="25">
        <v>2015</v>
      </c>
      <c r="C39" s="78">
        <v>6</v>
      </c>
      <c r="D39" s="268">
        <v>19517320</v>
      </c>
      <c r="E39" s="116">
        <v>18733940</v>
      </c>
      <c r="F39" s="116">
        <v>19512140</v>
      </c>
      <c r="G39" s="301">
        <v>19517320</v>
      </c>
      <c r="H39" s="268">
        <v>19507280</v>
      </c>
      <c r="I39" s="116">
        <v>19507280</v>
      </c>
      <c r="J39" s="116">
        <v>19508150</v>
      </c>
      <c r="K39" s="301">
        <v>19507280</v>
      </c>
      <c r="M39" s="160"/>
      <c r="N39" s="160"/>
    </row>
    <row r="40" spans="2:14" x14ac:dyDescent="0.35">
      <c r="B40" s="25">
        <v>2015</v>
      </c>
      <c r="C40" s="78">
        <v>7</v>
      </c>
      <c r="D40" s="268">
        <v>26045590</v>
      </c>
      <c r="E40" s="116">
        <v>21163280</v>
      </c>
      <c r="F40" s="116">
        <v>26209770</v>
      </c>
      <c r="G40" s="301">
        <v>26045590</v>
      </c>
      <c r="H40" s="268">
        <v>26042360</v>
      </c>
      <c r="I40" s="116">
        <v>26042360</v>
      </c>
      <c r="J40" s="116">
        <v>26233780</v>
      </c>
      <c r="K40" s="301">
        <v>26042360</v>
      </c>
      <c r="M40" s="160"/>
      <c r="N40" s="160"/>
    </row>
    <row r="41" spans="2:14" x14ac:dyDescent="0.35">
      <c r="B41" s="25">
        <v>2015</v>
      </c>
      <c r="C41" s="78">
        <v>8</v>
      </c>
      <c r="D41" s="268">
        <v>24999230</v>
      </c>
      <c r="E41" s="116">
        <v>20996570</v>
      </c>
      <c r="F41" s="116">
        <v>25064160</v>
      </c>
      <c r="G41" s="301">
        <v>24999230</v>
      </c>
      <c r="H41" s="268">
        <v>25000330</v>
      </c>
      <c r="I41" s="116">
        <v>25000330</v>
      </c>
      <c r="J41" s="116">
        <v>25187120</v>
      </c>
      <c r="K41" s="301">
        <v>25000330</v>
      </c>
      <c r="M41" s="160"/>
      <c r="N41" s="160"/>
    </row>
    <row r="42" spans="2:14" x14ac:dyDescent="0.35">
      <c r="B42" s="25">
        <v>2015</v>
      </c>
      <c r="C42" s="78">
        <v>9</v>
      </c>
      <c r="D42" s="268">
        <v>21391170</v>
      </c>
      <c r="E42" s="116">
        <v>18724600</v>
      </c>
      <c r="F42" s="116">
        <v>21383330</v>
      </c>
      <c r="G42" s="301">
        <v>21391170</v>
      </c>
      <c r="H42" s="268">
        <v>21398170</v>
      </c>
      <c r="I42" s="116">
        <v>21398170</v>
      </c>
      <c r="J42" s="116">
        <v>21399500</v>
      </c>
      <c r="K42" s="301">
        <v>21398170</v>
      </c>
      <c r="M42" s="160"/>
      <c r="N42" s="160"/>
    </row>
    <row r="43" spans="2:14" x14ac:dyDescent="0.35">
      <c r="B43" s="25">
        <v>2015</v>
      </c>
      <c r="C43" s="78">
        <v>10</v>
      </c>
      <c r="D43" s="268">
        <v>21111310</v>
      </c>
      <c r="E43" s="116">
        <v>18172330</v>
      </c>
      <c r="F43" s="116">
        <v>21273780</v>
      </c>
      <c r="G43" s="301">
        <v>21111310</v>
      </c>
      <c r="H43" s="268">
        <v>21122150</v>
      </c>
      <c r="I43" s="116">
        <v>21122150</v>
      </c>
      <c r="J43" s="116">
        <v>21276770</v>
      </c>
      <c r="K43" s="301">
        <v>21122150</v>
      </c>
      <c r="M43" s="160"/>
      <c r="N43" s="160"/>
    </row>
    <row r="44" spans="2:14" x14ac:dyDescent="0.35">
      <c r="B44" s="25">
        <v>2015</v>
      </c>
      <c r="C44" s="78">
        <v>11</v>
      </c>
      <c r="D44" s="268">
        <v>8813940</v>
      </c>
      <c r="E44" s="116">
        <v>13978440</v>
      </c>
      <c r="F44" s="116">
        <v>8817660</v>
      </c>
      <c r="G44" s="301">
        <v>8813940</v>
      </c>
      <c r="H44" s="268">
        <v>8715320</v>
      </c>
      <c r="I44" s="116">
        <v>8715320</v>
      </c>
      <c r="J44" s="116">
        <v>8820740</v>
      </c>
      <c r="K44" s="301">
        <v>8715320</v>
      </c>
      <c r="M44" s="160"/>
      <c r="N44" s="160"/>
    </row>
    <row r="45" spans="2:14" x14ac:dyDescent="0.35">
      <c r="B45" s="25">
        <v>2015</v>
      </c>
      <c r="C45" s="78">
        <v>12</v>
      </c>
      <c r="D45" s="268">
        <v>8094530</v>
      </c>
      <c r="E45" s="116">
        <v>14306030</v>
      </c>
      <c r="F45" s="116">
        <v>8097430</v>
      </c>
      <c r="G45" s="301">
        <v>8094530</v>
      </c>
      <c r="H45" s="268">
        <v>8251140</v>
      </c>
      <c r="I45" s="116">
        <v>8251140</v>
      </c>
      <c r="J45" s="116">
        <v>8252810</v>
      </c>
      <c r="K45" s="301">
        <v>8251140</v>
      </c>
      <c r="M45" s="160"/>
      <c r="N45" s="160"/>
    </row>
    <row r="46" spans="2:14" x14ac:dyDescent="0.35">
      <c r="B46" s="25">
        <v>2016</v>
      </c>
      <c r="C46" s="78">
        <v>1</v>
      </c>
      <c r="D46" s="268">
        <v>4331440</v>
      </c>
      <c r="E46" s="116">
        <v>13020780</v>
      </c>
      <c r="F46" s="116">
        <v>4497960</v>
      </c>
      <c r="G46" s="301">
        <v>4331440</v>
      </c>
      <c r="H46" s="268">
        <v>4029630</v>
      </c>
      <c r="I46" s="116">
        <v>4087480</v>
      </c>
      <c r="J46" s="116">
        <v>4441240</v>
      </c>
      <c r="K46" s="301">
        <v>4029630</v>
      </c>
      <c r="M46" s="160"/>
      <c r="N46" s="160"/>
    </row>
    <row r="47" spans="2:14" x14ac:dyDescent="0.35">
      <c r="B47" s="25">
        <v>2016</v>
      </c>
      <c r="C47" s="78">
        <v>2</v>
      </c>
      <c r="D47" s="268">
        <v>4641830</v>
      </c>
      <c r="E47" s="116">
        <v>12192980</v>
      </c>
      <c r="F47" s="116">
        <v>4796320</v>
      </c>
      <c r="G47" s="301">
        <v>4641830</v>
      </c>
      <c r="H47" s="268">
        <v>5007670</v>
      </c>
      <c r="I47" s="116">
        <v>5010230</v>
      </c>
      <c r="J47" s="116">
        <v>4892560</v>
      </c>
      <c r="K47" s="301">
        <v>5007670</v>
      </c>
      <c r="M47" s="160"/>
      <c r="N47" s="160"/>
    </row>
    <row r="48" spans="2:14" x14ac:dyDescent="0.35">
      <c r="B48" s="25">
        <v>2016</v>
      </c>
      <c r="C48" s="78">
        <v>3</v>
      </c>
      <c r="D48" s="268">
        <v>7704520</v>
      </c>
      <c r="E48" s="116">
        <v>13536150</v>
      </c>
      <c r="F48" s="116">
        <v>7900110</v>
      </c>
      <c r="G48" s="301">
        <v>7704520</v>
      </c>
      <c r="H48" s="268">
        <v>8021290</v>
      </c>
      <c r="I48" s="116">
        <v>7922620</v>
      </c>
      <c r="J48" s="116">
        <v>7952680</v>
      </c>
      <c r="K48" s="301">
        <v>8021290</v>
      </c>
      <c r="M48" s="160"/>
      <c r="N48" s="160"/>
    </row>
    <row r="49" spans="2:11" x14ac:dyDescent="0.35">
      <c r="B49" s="25">
        <v>2016</v>
      </c>
      <c r="C49" s="78">
        <v>4</v>
      </c>
      <c r="D49" s="268">
        <v>20780760</v>
      </c>
      <c r="E49" s="116">
        <v>17657700</v>
      </c>
      <c r="F49" s="116">
        <v>20718860</v>
      </c>
      <c r="G49" s="301">
        <v>20780760</v>
      </c>
      <c r="H49" s="268">
        <v>20647540</v>
      </c>
      <c r="I49" s="116">
        <v>20748960</v>
      </c>
      <c r="J49" s="116">
        <v>20590580</v>
      </c>
      <c r="K49" s="301">
        <v>20647540</v>
      </c>
    </row>
    <row r="50" spans="2:11" x14ac:dyDescent="0.35">
      <c r="B50" s="25">
        <v>2016</v>
      </c>
      <c r="C50" s="78">
        <v>5</v>
      </c>
      <c r="D50" s="268">
        <v>20113480</v>
      </c>
      <c r="E50" s="116">
        <v>17912880</v>
      </c>
      <c r="F50" s="116">
        <v>20053950</v>
      </c>
      <c r="G50" s="301">
        <v>20113480</v>
      </c>
      <c r="H50" s="268">
        <v>19774540</v>
      </c>
      <c r="I50" s="116">
        <v>19870260</v>
      </c>
      <c r="J50" s="116">
        <v>19721610</v>
      </c>
      <c r="K50" s="301">
        <v>19774540</v>
      </c>
    </row>
    <row r="51" spans="2:11" x14ac:dyDescent="0.35">
      <c r="B51" s="25">
        <v>2016</v>
      </c>
      <c r="C51" s="78">
        <v>6</v>
      </c>
      <c r="D51" s="268">
        <v>20976260</v>
      </c>
      <c r="E51" s="116">
        <v>18954220</v>
      </c>
      <c r="F51" s="116">
        <v>20942550</v>
      </c>
      <c r="G51" s="301">
        <v>20976260</v>
      </c>
      <c r="H51" s="268">
        <v>20772300</v>
      </c>
      <c r="I51" s="116">
        <v>21049870</v>
      </c>
      <c r="J51" s="116">
        <v>20592370</v>
      </c>
      <c r="K51" s="301">
        <v>20772300</v>
      </c>
    </row>
    <row r="52" spans="2:11" x14ac:dyDescent="0.35">
      <c r="B52" s="25">
        <v>2016</v>
      </c>
      <c r="C52" s="78">
        <v>7</v>
      </c>
      <c r="D52" s="268">
        <v>25908220</v>
      </c>
      <c r="E52" s="116">
        <v>21415360</v>
      </c>
      <c r="F52" s="116">
        <v>25873900</v>
      </c>
      <c r="G52" s="301">
        <v>25908220</v>
      </c>
      <c r="H52" s="268">
        <v>25751430</v>
      </c>
      <c r="I52" s="116">
        <v>25919840</v>
      </c>
      <c r="J52" s="116">
        <v>25775250</v>
      </c>
      <c r="K52" s="301">
        <v>25751430</v>
      </c>
    </row>
    <row r="53" spans="2:11" x14ac:dyDescent="0.35">
      <c r="B53" s="25">
        <v>2016</v>
      </c>
      <c r="C53" s="78">
        <v>8</v>
      </c>
      <c r="D53" s="268">
        <v>25064490</v>
      </c>
      <c r="E53" s="116">
        <v>20636850</v>
      </c>
      <c r="F53" s="116">
        <v>25181330</v>
      </c>
      <c r="G53" s="301">
        <v>25064490</v>
      </c>
      <c r="H53" s="268">
        <v>24545320</v>
      </c>
      <c r="I53" s="116">
        <v>24625280</v>
      </c>
      <c r="J53" s="116">
        <v>25049920</v>
      </c>
      <c r="K53" s="301">
        <v>24545320</v>
      </c>
    </row>
    <row r="54" spans="2:11" x14ac:dyDescent="0.35">
      <c r="B54" s="25">
        <v>2016</v>
      </c>
      <c r="C54" s="78">
        <v>9</v>
      </c>
      <c r="D54" s="268">
        <v>20528350</v>
      </c>
      <c r="E54" s="116">
        <v>19091230</v>
      </c>
      <c r="F54" s="116">
        <v>20513520</v>
      </c>
      <c r="G54" s="301">
        <v>20528350</v>
      </c>
      <c r="H54" s="268">
        <v>20236030</v>
      </c>
      <c r="I54" s="116">
        <v>20267290</v>
      </c>
      <c r="J54" s="116">
        <v>20219380</v>
      </c>
      <c r="K54" s="301">
        <v>20236030</v>
      </c>
    </row>
    <row r="55" spans="2:11" x14ac:dyDescent="0.35">
      <c r="B55" s="25">
        <v>2016</v>
      </c>
      <c r="C55" s="78">
        <v>10</v>
      </c>
      <c r="D55" s="268">
        <v>19280900</v>
      </c>
      <c r="E55" s="116">
        <v>12236760</v>
      </c>
      <c r="F55" s="116">
        <v>19201340</v>
      </c>
      <c r="G55" s="301">
        <v>19280900</v>
      </c>
      <c r="H55" s="268">
        <v>19074610</v>
      </c>
      <c r="I55" s="116">
        <v>19359120</v>
      </c>
      <c r="J55" s="116">
        <v>19063460</v>
      </c>
      <c r="K55" s="301">
        <v>19074610</v>
      </c>
    </row>
    <row r="56" spans="2:11" x14ac:dyDescent="0.35">
      <c r="B56" s="25">
        <v>2016</v>
      </c>
      <c r="C56" s="78">
        <v>11</v>
      </c>
      <c r="D56" s="268">
        <v>7479960</v>
      </c>
      <c r="E56" s="116">
        <v>14066250</v>
      </c>
      <c r="F56" s="116">
        <v>8576830</v>
      </c>
      <c r="G56" s="301">
        <v>7479960</v>
      </c>
      <c r="H56" s="268">
        <v>8405390</v>
      </c>
      <c r="I56" s="116">
        <v>8871610</v>
      </c>
      <c r="J56" s="116">
        <v>8504810</v>
      </c>
      <c r="K56" s="301">
        <v>8405390</v>
      </c>
    </row>
    <row r="57" spans="2:11" x14ac:dyDescent="0.35">
      <c r="B57" s="25">
        <v>2016</v>
      </c>
      <c r="C57" s="78">
        <v>12</v>
      </c>
      <c r="D57" s="268">
        <v>8162080</v>
      </c>
      <c r="E57" s="116">
        <v>14341500</v>
      </c>
      <c r="F57" s="116">
        <v>8389870</v>
      </c>
      <c r="G57" s="301">
        <v>8162080</v>
      </c>
      <c r="H57" s="268">
        <v>8131800</v>
      </c>
      <c r="I57" s="116">
        <v>8145010</v>
      </c>
      <c r="J57" s="116">
        <v>7931950</v>
      </c>
      <c r="K57" s="301">
        <v>8131800</v>
      </c>
    </row>
    <row r="58" spans="2:11" x14ac:dyDescent="0.35">
      <c r="B58" s="25">
        <v>2017</v>
      </c>
      <c r="C58" s="78">
        <v>1</v>
      </c>
      <c r="D58" s="268">
        <v>4610530</v>
      </c>
      <c r="E58" s="116">
        <v>4610530</v>
      </c>
      <c r="F58" s="116">
        <v>4497200</v>
      </c>
      <c r="G58" s="301">
        <v>4535110</v>
      </c>
      <c r="H58" s="268">
        <v>4393020</v>
      </c>
      <c r="I58" s="116">
        <v>4452720</v>
      </c>
      <c r="J58" s="116">
        <v>4627340</v>
      </c>
      <c r="K58" s="301">
        <v>4393020</v>
      </c>
    </row>
    <row r="59" spans="2:11" x14ac:dyDescent="0.35">
      <c r="B59" s="25">
        <v>2017</v>
      </c>
      <c r="C59" s="78">
        <v>2</v>
      </c>
      <c r="D59" s="268">
        <v>5154850</v>
      </c>
      <c r="E59" s="116">
        <v>5154850</v>
      </c>
      <c r="F59" s="116">
        <v>5163710</v>
      </c>
      <c r="G59" s="301">
        <v>5168990</v>
      </c>
      <c r="H59" s="268">
        <v>5047490</v>
      </c>
      <c r="I59" s="116">
        <v>5065160</v>
      </c>
      <c r="J59" s="116">
        <v>5070050</v>
      </c>
      <c r="K59" s="301">
        <v>5047490</v>
      </c>
    </row>
    <row r="60" spans="2:11" x14ac:dyDescent="0.35">
      <c r="B60" s="25">
        <v>2017</v>
      </c>
      <c r="C60" s="78">
        <v>3</v>
      </c>
      <c r="D60" s="268">
        <v>7457440</v>
      </c>
      <c r="E60" s="116">
        <v>7457440</v>
      </c>
      <c r="F60" s="116">
        <v>7229120</v>
      </c>
      <c r="G60" s="301">
        <v>7336470</v>
      </c>
      <c r="H60" s="268">
        <v>7265260</v>
      </c>
      <c r="I60" s="116">
        <v>7227700</v>
      </c>
      <c r="J60" s="116">
        <v>7172430</v>
      </c>
      <c r="K60" s="301">
        <v>7265260</v>
      </c>
    </row>
    <row r="61" spans="2:11" x14ac:dyDescent="0.35">
      <c r="B61" s="25">
        <v>2017</v>
      </c>
      <c r="C61" s="78">
        <v>4</v>
      </c>
      <c r="D61" s="268">
        <v>18813290</v>
      </c>
      <c r="E61" s="116">
        <v>18813290</v>
      </c>
      <c r="F61" s="116">
        <v>18366830</v>
      </c>
      <c r="G61" s="301">
        <v>18530930</v>
      </c>
      <c r="H61" s="268">
        <v>18267970</v>
      </c>
      <c r="I61" s="116">
        <v>18388370</v>
      </c>
      <c r="J61" s="116">
        <v>17998780</v>
      </c>
      <c r="K61" s="301">
        <v>18267970</v>
      </c>
    </row>
    <row r="62" spans="2:11" x14ac:dyDescent="0.35">
      <c r="B62" s="25">
        <v>2017</v>
      </c>
      <c r="C62" s="78">
        <v>5</v>
      </c>
      <c r="D62" s="268">
        <v>18663340</v>
      </c>
      <c r="E62" s="116">
        <v>18663340</v>
      </c>
      <c r="F62" s="116">
        <v>18103770</v>
      </c>
      <c r="G62" s="301">
        <v>18156110</v>
      </c>
      <c r="H62" s="268">
        <v>17583260</v>
      </c>
      <c r="I62" s="116">
        <v>18150730</v>
      </c>
      <c r="J62" s="116">
        <v>17360160</v>
      </c>
      <c r="K62" s="301">
        <v>17583260</v>
      </c>
    </row>
    <row r="63" spans="2:11" x14ac:dyDescent="0.35">
      <c r="B63" s="25">
        <v>2017</v>
      </c>
      <c r="C63" s="78">
        <v>6</v>
      </c>
      <c r="D63" s="268">
        <v>21251370</v>
      </c>
      <c r="E63" s="116">
        <v>21251370</v>
      </c>
      <c r="F63" s="116">
        <v>21028340</v>
      </c>
      <c r="G63" s="301">
        <v>21073250</v>
      </c>
      <c r="H63" s="268">
        <v>20664340</v>
      </c>
      <c r="I63" s="116">
        <v>20862630</v>
      </c>
      <c r="J63" s="116">
        <v>20432090</v>
      </c>
      <c r="K63" s="301">
        <v>20664340</v>
      </c>
    </row>
    <row r="64" spans="2:11" x14ac:dyDescent="0.35">
      <c r="B64" s="25">
        <v>2017</v>
      </c>
      <c r="C64" s="78">
        <v>7</v>
      </c>
      <c r="D64" s="268">
        <v>28235130</v>
      </c>
      <c r="E64" s="116">
        <v>28235130</v>
      </c>
      <c r="F64" s="116">
        <v>27509440</v>
      </c>
      <c r="G64" s="301">
        <v>27930870</v>
      </c>
      <c r="H64" s="268">
        <v>27544540</v>
      </c>
      <c r="I64" s="116">
        <v>28006400</v>
      </c>
      <c r="J64" s="116">
        <v>27064260</v>
      </c>
      <c r="K64" s="301">
        <v>27544540</v>
      </c>
    </row>
    <row r="65" spans="2:11" x14ac:dyDescent="0.35">
      <c r="B65" s="25">
        <v>2017</v>
      </c>
      <c r="C65" s="78">
        <v>8</v>
      </c>
      <c r="D65" s="268">
        <v>27018860</v>
      </c>
      <c r="E65" s="116">
        <v>27018860</v>
      </c>
      <c r="F65" s="116">
        <v>26202550</v>
      </c>
      <c r="G65" s="301">
        <v>26361320</v>
      </c>
      <c r="H65" s="268">
        <v>25905480</v>
      </c>
      <c r="I65" s="116">
        <v>26299060</v>
      </c>
      <c r="J65" s="116">
        <v>25334520</v>
      </c>
      <c r="K65" s="301">
        <v>25905480</v>
      </c>
    </row>
    <row r="66" spans="2:11" x14ac:dyDescent="0.35">
      <c r="B66" s="25">
        <v>2017</v>
      </c>
      <c r="C66" s="78">
        <v>9</v>
      </c>
      <c r="D66" s="268">
        <v>21543900</v>
      </c>
      <c r="E66" s="116">
        <v>21543900</v>
      </c>
      <c r="F66" s="116">
        <v>20973100</v>
      </c>
      <c r="G66" s="301">
        <v>21350510</v>
      </c>
      <c r="H66" s="268">
        <v>20708470</v>
      </c>
      <c r="I66" s="116">
        <v>21084150</v>
      </c>
      <c r="J66" s="116">
        <v>20614270</v>
      </c>
      <c r="K66" s="301">
        <v>20708470</v>
      </c>
    </row>
    <row r="67" spans="2:11" x14ac:dyDescent="0.35">
      <c r="B67" s="25">
        <v>2017</v>
      </c>
      <c r="C67" s="78">
        <v>10</v>
      </c>
      <c r="D67" s="268">
        <v>24016040</v>
      </c>
      <c r="E67" s="116">
        <v>24016040</v>
      </c>
      <c r="F67" s="116">
        <v>23333140</v>
      </c>
      <c r="G67" s="301">
        <v>23500600</v>
      </c>
      <c r="H67" s="268">
        <v>23095940</v>
      </c>
      <c r="I67" s="116">
        <v>23481170</v>
      </c>
      <c r="J67" s="116">
        <v>23103360</v>
      </c>
      <c r="K67" s="301">
        <v>23095940</v>
      </c>
    </row>
    <row r="68" spans="2:11" x14ac:dyDescent="0.35">
      <c r="B68" s="25">
        <v>2017</v>
      </c>
      <c r="C68" s="78">
        <v>11</v>
      </c>
      <c r="D68" s="268">
        <v>13139390</v>
      </c>
      <c r="E68" s="116">
        <v>13139390</v>
      </c>
      <c r="F68" s="116">
        <v>12589070</v>
      </c>
      <c r="G68" s="301">
        <v>12818640</v>
      </c>
      <c r="H68" s="268">
        <v>12448380</v>
      </c>
      <c r="I68" s="116">
        <v>12852240</v>
      </c>
      <c r="J68" s="116">
        <v>12199990</v>
      </c>
      <c r="K68" s="301">
        <v>12448380</v>
      </c>
    </row>
    <row r="69" spans="2:11" x14ac:dyDescent="0.35">
      <c r="B69" s="25">
        <v>2017</v>
      </c>
      <c r="C69" s="78">
        <v>12</v>
      </c>
      <c r="D69" s="268">
        <v>10547030</v>
      </c>
      <c r="E69" s="116">
        <v>10547030</v>
      </c>
      <c r="F69" s="116">
        <v>10050870</v>
      </c>
      <c r="G69" s="301">
        <v>10318440</v>
      </c>
      <c r="H69" s="268">
        <v>10158830</v>
      </c>
      <c r="I69" s="116">
        <v>9778710</v>
      </c>
      <c r="J69" s="116">
        <v>9947530</v>
      </c>
      <c r="K69" s="301">
        <v>10158830</v>
      </c>
    </row>
    <row r="70" spans="2:11" x14ac:dyDescent="0.35">
      <c r="B70" s="25">
        <v>2018</v>
      </c>
      <c r="C70" s="78">
        <v>1</v>
      </c>
      <c r="D70" s="268">
        <v>7500480</v>
      </c>
      <c r="E70" s="116">
        <v>7500480</v>
      </c>
      <c r="F70" s="116">
        <v>7438340</v>
      </c>
      <c r="G70" s="301">
        <v>6141360</v>
      </c>
      <c r="H70" s="268">
        <v>7059390</v>
      </c>
      <c r="I70" s="116">
        <v>7129570</v>
      </c>
      <c r="J70" s="116">
        <v>7024760</v>
      </c>
      <c r="K70" s="301">
        <v>5925120</v>
      </c>
    </row>
    <row r="71" spans="2:11" x14ac:dyDescent="0.35">
      <c r="B71" s="25">
        <v>2018</v>
      </c>
      <c r="C71" s="78">
        <v>2</v>
      </c>
      <c r="D71" s="268">
        <v>7475720</v>
      </c>
      <c r="E71" s="116">
        <v>7475720</v>
      </c>
      <c r="F71" s="116">
        <v>7445810</v>
      </c>
      <c r="G71" s="301">
        <v>6601370</v>
      </c>
      <c r="H71" s="268">
        <v>7357940</v>
      </c>
      <c r="I71" s="116">
        <v>7491310</v>
      </c>
      <c r="J71" s="116">
        <v>7386130</v>
      </c>
      <c r="K71" s="301">
        <v>6513070</v>
      </c>
    </row>
    <row r="72" spans="2:11" x14ac:dyDescent="0.35">
      <c r="B72" s="25">
        <v>2018</v>
      </c>
      <c r="C72" s="78">
        <v>3</v>
      </c>
      <c r="D72" s="268">
        <v>8964780</v>
      </c>
      <c r="E72" s="116">
        <v>8964780</v>
      </c>
      <c r="F72" s="116">
        <v>8664890</v>
      </c>
      <c r="G72" s="301">
        <v>8181880</v>
      </c>
      <c r="H72" s="268">
        <v>8941230</v>
      </c>
      <c r="I72" s="116">
        <v>8904620</v>
      </c>
      <c r="J72" s="116">
        <v>9089170</v>
      </c>
      <c r="K72" s="301">
        <v>8033660</v>
      </c>
    </row>
    <row r="73" spans="2:11" x14ac:dyDescent="0.35">
      <c r="B73" s="25">
        <v>2018</v>
      </c>
      <c r="C73" s="78">
        <v>4</v>
      </c>
      <c r="D73" s="268">
        <v>17809720</v>
      </c>
      <c r="E73" s="116">
        <v>17809720</v>
      </c>
      <c r="F73" s="116">
        <v>17726340</v>
      </c>
      <c r="G73" s="301">
        <v>14493470</v>
      </c>
      <c r="H73" s="268">
        <v>16952160</v>
      </c>
      <c r="I73" s="116">
        <v>17183820</v>
      </c>
      <c r="J73" s="116">
        <v>17054780</v>
      </c>
      <c r="K73" s="301">
        <v>14585470</v>
      </c>
    </row>
    <row r="74" spans="2:11" x14ac:dyDescent="0.35">
      <c r="B74" s="25">
        <v>2018</v>
      </c>
      <c r="C74" s="78">
        <v>5</v>
      </c>
      <c r="D74" s="268">
        <v>17213070</v>
      </c>
      <c r="E74" s="116">
        <v>17213070</v>
      </c>
      <c r="F74" s="116">
        <v>16454060</v>
      </c>
      <c r="G74" s="301">
        <v>14537180</v>
      </c>
      <c r="H74" s="268">
        <v>15580750</v>
      </c>
      <c r="I74" s="116">
        <v>16848480</v>
      </c>
      <c r="J74" s="116">
        <v>15961300</v>
      </c>
      <c r="K74" s="301">
        <v>14019560</v>
      </c>
    </row>
    <row r="75" spans="2:11" x14ac:dyDescent="0.35">
      <c r="B75" s="25">
        <v>2018</v>
      </c>
      <c r="C75" s="78">
        <v>6</v>
      </c>
      <c r="D75" s="268">
        <v>20568860</v>
      </c>
      <c r="E75" s="116">
        <v>20568860</v>
      </c>
      <c r="F75" s="116">
        <v>20328100</v>
      </c>
      <c r="G75" s="301">
        <v>18704060</v>
      </c>
      <c r="H75" s="268">
        <v>19740470</v>
      </c>
      <c r="I75" s="116">
        <v>19764950</v>
      </c>
      <c r="J75" s="116">
        <v>19723020</v>
      </c>
      <c r="K75" s="301">
        <v>18201830</v>
      </c>
    </row>
    <row r="76" spans="2:11" x14ac:dyDescent="0.35">
      <c r="B76" s="25">
        <v>2018</v>
      </c>
      <c r="C76" s="78">
        <v>7</v>
      </c>
      <c r="D76" s="268">
        <v>27314740</v>
      </c>
      <c r="E76" s="116">
        <v>27314740</v>
      </c>
      <c r="F76" s="116">
        <v>26568980</v>
      </c>
      <c r="G76" s="301">
        <v>25115290</v>
      </c>
      <c r="H76" s="268">
        <v>25724500</v>
      </c>
      <c r="I76" s="116">
        <v>26156010</v>
      </c>
      <c r="J76" s="116">
        <v>25733070</v>
      </c>
      <c r="K76" s="301">
        <v>24399740</v>
      </c>
    </row>
    <row r="77" spans="2:11" x14ac:dyDescent="0.35">
      <c r="B77" s="25">
        <v>2018</v>
      </c>
      <c r="C77" s="78">
        <v>8</v>
      </c>
      <c r="D77" s="268">
        <v>27155180</v>
      </c>
      <c r="E77" s="116">
        <v>27155180</v>
      </c>
      <c r="F77" s="116">
        <v>26307160</v>
      </c>
      <c r="G77" s="301">
        <v>24890160</v>
      </c>
      <c r="H77" s="268">
        <v>25663380</v>
      </c>
      <c r="I77" s="116">
        <v>26110950</v>
      </c>
      <c r="J77" s="116">
        <v>25561740</v>
      </c>
      <c r="K77" s="301">
        <v>23412810</v>
      </c>
    </row>
    <row r="78" spans="2:11" x14ac:dyDescent="0.35">
      <c r="B78" s="25">
        <v>2018</v>
      </c>
      <c r="C78" s="78">
        <v>9</v>
      </c>
      <c r="D78" s="268">
        <v>21333290</v>
      </c>
      <c r="E78" s="116">
        <v>21333290</v>
      </c>
      <c r="F78" s="116">
        <v>21203570</v>
      </c>
      <c r="G78" s="301">
        <v>19565910</v>
      </c>
      <c r="H78" s="268">
        <v>20439860</v>
      </c>
      <c r="I78" s="116">
        <v>20881370</v>
      </c>
      <c r="J78" s="116">
        <v>20465190</v>
      </c>
      <c r="K78" s="301">
        <v>18986610</v>
      </c>
    </row>
    <row r="79" spans="2:11" x14ac:dyDescent="0.35">
      <c r="B79" s="25">
        <v>2018</v>
      </c>
      <c r="C79" s="78">
        <v>10</v>
      </c>
      <c r="D79" s="268">
        <v>22199340</v>
      </c>
      <c r="E79" s="116">
        <v>22199340</v>
      </c>
      <c r="F79" s="116">
        <v>21913830</v>
      </c>
      <c r="G79" s="301">
        <v>19949520</v>
      </c>
      <c r="H79" s="268">
        <v>21433760</v>
      </c>
      <c r="I79" s="116">
        <v>21328350</v>
      </c>
      <c r="J79" s="116">
        <v>21201180</v>
      </c>
      <c r="K79" s="301">
        <v>19214780</v>
      </c>
    </row>
    <row r="80" spans="2:11" x14ac:dyDescent="0.35">
      <c r="B80" s="25">
        <v>2018</v>
      </c>
      <c r="C80" s="78">
        <v>11</v>
      </c>
      <c r="D80" s="268">
        <v>10856940</v>
      </c>
      <c r="E80" s="116">
        <v>10856940</v>
      </c>
      <c r="F80" s="116">
        <v>10926270</v>
      </c>
      <c r="G80" s="301">
        <v>9566130</v>
      </c>
      <c r="H80" s="268">
        <v>10377470</v>
      </c>
      <c r="I80" s="116">
        <v>10343650</v>
      </c>
      <c r="J80" s="116">
        <v>10128550</v>
      </c>
      <c r="K80" s="301">
        <v>8999500</v>
      </c>
    </row>
    <row r="81" spans="2:11" x14ac:dyDescent="0.35">
      <c r="B81" s="25">
        <v>2018</v>
      </c>
      <c r="C81" s="78">
        <v>12</v>
      </c>
      <c r="D81" s="268">
        <v>10727870</v>
      </c>
      <c r="E81" s="116">
        <v>10727870</v>
      </c>
      <c r="F81" s="116">
        <v>10655530</v>
      </c>
      <c r="G81" s="301">
        <v>9621940</v>
      </c>
      <c r="H81" s="268">
        <v>10056180</v>
      </c>
      <c r="I81" s="116">
        <v>10090350</v>
      </c>
      <c r="J81" s="116">
        <v>10063930</v>
      </c>
      <c r="K81" s="301">
        <v>9250970</v>
      </c>
    </row>
    <row r="82" spans="2:11" x14ac:dyDescent="0.35">
      <c r="B82" s="25">
        <v>2019</v>
      </c>
      <c r="C82" s="78">
        <v>1</v>
      </c>
      <c r="D82" s="268">
        <v>7045490</v>
      </c>
      <c r="E82" s="116">
        <v>7045490</v>
      </c>
      <c r="F82" s="116">
        <v>7044170</v>
      </c>
      <c r="G82" s="301">
        <v>5998070</v>
      </c>
      <c r="H82" s="268">
        <v>6495310</v>
      </c>
      <c r="I82" s="116">
        <v>6632000</v>
      </c>
      <c r="J82" s="116">
        <v>6495410</v>
      </c>
      <c r="K82" s="301">
        <v>5227300</v>
      </c>
    </row>
    <row r="83" spans="2:11" x14ac:dyDescent="0.35">
      <c r="B83" s="25">
        <v>2019</v>
      </c>
      <c r="C83" s="78">
        <v>2</v>
      </c>
      <c r="D83" s="268">
        <v>6658060</v>
      </c>
      <c r="E83" s="116">
        <v>6658060</v>
      </c>
      <c r="F83" s="116">
        <v>6545700</v>
      </c>
      <c r="G83" s="301">
        <v>5834050</v>
      </c>
      <c r="H83" s="268">
        <v>6400520</v>
      </c>
      <c r="I83" s="116">
        <v>6604710</v>
      </c>
      <c r="J83" s="116">
        <v>6448570</v>
      </c>
      <c r="K83" s="301">
        <v>5334370</v>
      </c>
    </row>
    <row r="84" spans="2:11" x14ac:dyDescent="0.35">
      <c r="B84" s="25">
        <v>2019</v>
      </c>
      <c r="C84" s="78">
        <v>3</v>
      </c>
      <c r="D84" s="268">
        <v>9106470</v>
      </c>
      <c r="E84" s="116">
        <v>9106470</v>
      </c>
      <c r="F84" s="116">
        <v>9009350</v>
      </c>
      <c r="G84" s="301">
        <v>8749550</v>
      </c>
      <c r="H84" s="268">
        <v>8715550</v>
      </c>
      <c r="I84" s="116">
        <v>8749510</v>
      </c>
      <c r="J84" s="116">
        <v>8746180</v>
      </c>
      <c r="K84" s="301">
        <v>7675140</v>
      </c>
    </row>
    <row r="85" spans="2:11" x14ac:dyDescent="0.35">
      <c r="B85" s="25">
        <v>2019</v>
      </c>
      <c r="C85" s="78">
        <v>4</v>
      </c>
      <c r="D85" s="268">
        <v>21757270</v>
      </c>
      <c r="E85" s="116">
        <v>21757270</v>
      </c>
      <c r="F85" s="116">
        <v>21330100</v>
      </c>
      <c r="G85" s="301">
        <v>19993500</v>
      </c>
      <c r="H85" s="268">
        <v>20716580</v>
      </c>
      <c r="I85" s="116">
        <v>20773590</v>
      </c>
      <c r="J85" s="116">
        <v>20570840</v>
      </c>
      <c r="K85" s="301">
        <v>18921090</v>
      </c>
    </row>
    <row r="86" spans="2:11" x14ac:dyDescent="0.35">
      <c r="B86" s="25">
        <v>2019</v>
      </c>
      <c r="C86" s="78">
        <v>5</v>
      </c>
      <c r="D86" s="268">
        <v>21561090</v>
      </c>
      <c r="E86" s="116">
        <v>21561090</v>
      </c>
      <c r="F86" s="116">
        <v>20805750</v>
      </c>
      <c r="G86" s="301">
        <v>19705760</v>
      </c>
      <c r="H86" s="268">
        <v>20150880</v>
      </c>
      <c r="I86" s="116">
        <v>20732250</v>
      </c>
      <c r="J86" s="116">
        <v>20161370</v>
      </c>
      <c r="K86" s="301">
        <v>18909770</v>
      </c>
    </row>
    <row r="87" spans="2:11" x14ac:dyDescent="0.35">
      <c r="B87" s="25">
        <v>2019</v>
      </c>
      <c r="C87" s="78">
        <v>6</v>
      </c>
      <c r="D87" s="268">
        <v>21005500</v>
      </c>
      <c r="E87" s="116">
        <v>21005500</v>
      </c>
      <c r="F87" s="116">
        <v>20830910</v>
      </c>
      <c r="G87" s="301">
        <v>19557720</v>
      </c>
      <c r="H87" s="268">
        <v>20236620</v>
      </c>
      <c r="I87" s="116">
        <v>19977700</v>
      </c>
      <c r="J87" s="116">
        <v>20183090</v>
      </c>
      <c r="K87" s="301">
        <v>17934010</v>
      </c>
    </row>
    <row r="88" spans="2:11" x14ac:dyDescent="0.35">
      <c r="B88" s="25">
        <v>2019</v>
      </c>
      <c r="C88" s="78">
        <v>7</v>
      </c>
      <c r="D88" s="268">
        <v>28127690</v>
      </c>
      <c r="E88" s="116">
        <v>28127690</v>
      </c>
      <c r="F88" s="116">
        <v>26954370</v>
      </c>
      <c r="G88" s="301">
        <v>25548420</v>
      </c>
      <c r="H88" s="268">
        <v>26410450</v>
      </c>
      <c r="I88" s="116">
        <v>26802630</v>
      </c>
      <c r="J88" s="116">
        <v>25816660</v>
      </c>
      <c r="K88" s="301">
        <v>24636130</v>
      </c>
    </row>
    <row r="89" spans="2:11" x14ac:dyDescent="0.35">
      <c r="B89" s="25">
        <v>2019</v>
      </c>
      <c r="C89" s="78">
        <v>8</v>
      </c>
      <c r="D89" s="268">
        <v>27173130</v>
      </c>
      <c r="E89" s="116">
        <v>27173130</v>
      </c>
      <c r="F89" s="116">
        <v>26434390</v>
      </c>
      <c r="G89" s="301">
        <v>23973700</v>
      </c>
      <c r="H89" s="268">
        <v>25776340</v>
      </c>
      <c r="I89" s="116">
        <v>26323170</v>
      </c>
      <c r="J89" s="116">
        <v>25162060</v>
      </c>
      <c r="K89" s="301">
        <v>22968370</v>
      </c>
    </row>
    <row r="90" spans="2:11" x14ac:dyDescent="0.35">
      <c r="B90" s="25">
        <v>2019</v>
      </c>
      <c r="C90" s="78">
        <v>9</v>
      </c>
      <c r="D90" s="268">
        <v>21352540</v>
      </c>
      <c r="E90" s="116">
        <v>21352540</v>
      </c>
      <c r="F90" s="116">
        <v>20584840</v>
      </c>
      <c r="G90" s="301">
        <v>18656600</v>
      </c>
      <c r="H90" s="268">
        <v>19680410</v>
      </c>
      <c r="I90" s="116">
        <v>20168070</v>
      </c>
      <c r="J90" s="116">
        <v>19525510</v>
      </c>
      <c r="K90" s="301">
        <v>18216590</v>
      </c>
    </row>
    <row r="91" spans="2:11" x14ac:dyDescent="0.35">
      <c r="B91" s="25">
        <v>2019</v>
      </c>
      <c r="C91" s="78">
        <v>10</v>
      </c>
      <c r="D91" s="268">
        <v>19645100</v>
      </c>
      <c r="E91" s="116">
        <v>19645100</v>
      </c>
      <c r="F91" s="116">
        <v>19762180</v>
      </c>
      <c r="G91" s="301">
        <v>17692210</v>
      </c>
      <c r="H91" s="268">
        <v>18761390</v>
      </c>
      <c r="I91" s="116">
        <v>18855680</v>
      </c>
      <c r="J91" s="116">
        <v>18887310</v>
      </c>
      <c r="K91" s="301">
        <v>16632830</v>
      </c>
    </row>
    <row r="92" spans="2:11" x14ac:dyDescent="0.35">
      <c r="B92" s="25">
        <v>2019</v>
      </c>
      <c r="C92" s="78">
        <v>11</v>
      </c>
      <c r="D92" s="268">
        <v>11403880</v>
      </c>
      <c r="E92" s="116">
        <v>11403880</v>
      </c>
      <c r="F92" s="116">
        <v>11270810</v>
      </c>
      <c r="G92" s="301">
        <v>9611970</v>
      </c>
      <c r="H92" s="268">
        <v>10391230</v>
      </c>
      <c r="I92" s="116">
        <v>10517040</v>
      </c>
      <c r="J92" s="116">
        <v>10416070</v>
      </c>
      <c r="K92" s="301">
        <v>9166010</v>
      </c>
    </row>
    <row r="93" spans="2:11" x14ac:dyDescent="0.35">
      <c r="B93" s="25">
        <v>2019</v>
      </c>
      <c r="C93" s="78">
        <v>12</v>
      </c>
      <c r="D93" s="268">
        <v>10180800</v>
      </c>
      <c r="E93" s="116">
        <v>10180800</v>
      </c>
      <c r="F93" s="116">
        <v>10384700</v>
      </c>
      <c r="G93" s="301">
        <v>9881980</v>
      </c>
      <c r="H93" s="268">
        <v>9828780</v>
      </c>
      <c r="I93" s="116">
        <v>9753300</v>
      </c>
      <c r="J93" s="116">
        <v>9889370</v>
      </c>
      <c r="K93" s="301">
        <v>9298370</v>
      </c>
    </row>
    <row r="94" spans="2:11" x14ac:dyDescent="0.35">
      <c r="B94" s="25">
        <v>2020</v>
      </c>
      <c r="C94" s="78">
        <v>1</v>
      </c>
      <c r="D94" s="268">
        <v>23993940</v>
      </c>
      <c r="E94" s="116">
        <v>26723050</v>
      </c>
      <c r="F94" s="116">
        <v>23717640</v>
      </c>
      <c r="G94" s="301">
        <v>21764610</v>
      </c>
      <c r="H94" s="268">
        <v>22791820</v>
      </c>
      <c r="I94" s="116">
        <v>23163340</v>
      </c>
      <c r="J94" s="116">
        <v>21968180</v>
      </c>
      <c r="K94" s="301">
        <v>20897540</v>
      </c>
    </row>
    <row r="95" spans="2:11" x14ac:dyDescent="0.35">
      <c r="B95" s="25">
        <v>2020</v>
      </c>
      <c r="C95" s="78">
        <v>2</v>
      </c>
      <c r="D95" s="268">
        <v>21823620</v>
      </c>
      <c r="E95" s="116">
        <v>22825760</v>
      </c>
      <c r="F95" s="116">
        <v>21353460</v>
      </c>
      <c r="G95" s="301">
        <v>20017710</v>
      </c>
      <c r="H95" s="268">
        <v>20539910</v>
      </c>
      <c r="I95" s="116">
        <v>20768950</v>
      </c>
      <c r="J95" s="116">
        <v>20201180</v>
      </c>
      <c r="K95" s="301">
        <v>18092460</v>
      </c>
    </row>
    <row r="96" spans="2:11" x14ac:dyDescent="0.35">
      <c r="B96" s="25">
        <v>2020</v>
      </c>
      <c r="C96" s="78">
        <v>3</v>
      </c>
      <c r="D96" s="268">
        <v>20124800</v>
      </c>
      <c r="E96" s="116">
        <v>23434310</v>
      </c>
      <c r="F96" s="116">
        <v>19463030</v>
      </c>
      <c r="G96" s="301">
        <v>18079980</v>
      </c>
      <c r="H96" s="268">
        <v>19006390</v>
      </c>
      <c r="I96" s="116">
        <v>19295020</v>
      </c>
      <c r="J96" s="116">
        <v>18433340</v>
      </c>
      <c r="K96" s="301">
        <v>16802780</v>
      </c>
    </row>
    <row r="97" spans="2:11" x14ac:dyDescent="0.35">
      <c r="B97" s="25">
        <v>2020</v>
      </c>
      <c r="C97" s="78">
        <v>4</v>
      </c>
      <c r="D97" s="268">
        <v>19245730</v>
      </c>
      <c r="E97" s="116">
        <v>21445840</v>
      </c>
      <c r="F97" s="116">
        <v>18641000</v>
      </c>
      <c r="G97" s="301">
        <v>16766770</v>
      </c>
      <c r="H97" s="268">
        <v>17577710</v>
      </c>
      <c r="I97" s="116">
        <v>18130240</v>
      </c>
      <c r="J97" s="116">
        <v>17639680</v>
      </c>
      <c r="K97" s="301">
        <v>15246940</v>
      </c>
    </row>
    <row r="98" spans="2:11" x14ac:dyDescent="0.35">
      <c r="B98" s="25">
        <v>2020</v>
      </c>
      <c r="C98" s="78">
        <v>5</v>
      </c>
      <c r="D98" s="268">
        <v>16764810</v>
      </c>
      <c r="E98" s="116">
        <v>21417770</v>
      </c>
      <c r="F98" s="116">
        <v>16110160</v>
      </c>
      <c r="G98" s="301">
        <v>15314120</v>
      </c>
      <c r="H98" s="268">
        <v>16055130</v>
      </c>
      <c r="I98" s="116">
        <v>16271730</v>
      </c>
      <c r="J98" s="116">
        <v>15933170</v>
      </c>
      <c r="K98" s="301">
        <v>14094690</v>
      </c>
    </row>
    <row r="99" spans="2:11" x14ac:dyDescent="0.35">
      <c r="B99" s="25">
        <v>2020</v>
      </c>
      <c r="C99" s="78">
        <v>6</v>
      </c>
      <c r="D99" s="268">
        <v>19069680</v>
      </c>
      <c r="E99" s="116">
        <v>25004810</v>
      </c>
      <c r="F99" s="116">
        <v>19041980</v>
      </c>
      <c r="G99" s="301">
        <v>17735950</v>
      </c>
      <c r="H99" s="268">
        <v>17935720</v>
      </c>
      <c r="I99" s="116">
        <v>18351070</v>
      </c>
      <c r="J99" s="116">
        <v>17949450</v>
      </c>
      <c r="K99" s="301">
        <v>15859830</v>
      </c>
    </row>
    <row r="100" spans="2:11" x14ac:dyDescent="0.35">
      <c r="B100" s="25">
        <v>2020</v>
      </c>
      <c r="C100" s="78">
        <v>7</v>
      </c>
      <c r="D100" s="268">
        <v>25937080</v>
      </c>
      <c r="E100" s="116">
        <v>28054230</v>
      </c>
      <c r="F100" s="116">
        <v>25529710</v>
      </c>
      <c r="G100" s="301">
        <v>23238750</v>
      </c>
      <c r="H100" s="268">
        <v>23764670</v>
      </c>
      <c r="I100" s="116">
        <v>24440880</v>
      </c>
      <c r="J100" s="116">
        <v>23811290</v>
      </c>
      <c r="K100" s="301">
        <v>22130070</v>
      </c>
    </row>
    <row r="101" spans="2:11" x14ac:dyDescent="0.35">
      <c r="B101" s="25">
        <v>2020</v>
      </c>
      <c r="C101" s="78">
        <v>8</v>
      </c>
      <c r="D101" s="268">
        <v>25045660</v>
      </c>
      <c r="E101" s="116">
        <v>27602880</v>
      </c>
      <c r="F101" s="116">
        <v>24423070</v>
      </c>
      <c r="G101" s="301">
        <v>22632330</v>
      </c>
      <c r="H101" s="268">
        <v>23466090</v>
      </c>
      <c r="I101" s="116">
        <v>24324660</v>
      </c>
      <c r="J101" s="116">
        <v>22771750</v>
      </c>
      <c r="K101" s="301">
        <v>21181400</v>
      </c>
    </row>
    <row r="102" spans="2:11" x14ac:dyDescent="0.35">
      <c r="B102" s="25">
        <v>2020</v>
      </c>
      <c r="C102" s="78">
        <v>9</v>
      </c>
      <c r="D102" s="268">
        <v>18784700</v>
      </c>
      <c r="E102" s="116">
        <v>24196920</v>
      </c>
      <c r="F102" s="116">
        <v>18682270</v>
      </c>
      <c r="G102" s="301">
        <v>17118890</v>
      </c>
      <c r="H102" s="268">
        <v>17574930</v>
      </c>
      <c r="I102" s="116">
        <v>18108050</v>
      </c>
      <c r="J102" s="116">
        <v>17359740</v>
      </c>
      <c r="K102" s="301">
        <v>15685260</v>
      </c>
    </row>
    <row r="103" spans="2:11" x14ac:dyDescent="0.35">
      <c r="B103" s="25">
        <v>2020</v>
      </c>
      <c r="C103" s="78">
        <v>10</v>
      </c>
      <c r="D103" s="268">
        <v>22209120</v>
      </c>
      <c r="E103" s="116">
        <v>19155620</v>
      </c>
      <c r="F103" s="116">
        <v>21835680</v>
      </c>
      <c r="G103" s="301">
        <v>20970440</v>
      </c>
      <c r="H103" s="268">
        <v>20942070</v>
      </c>
      <c r="I103" s="116">
        <v>21094150</v>
      </c>
      <c r="J103" s="116">
        <v>20814300</v>
      </c>
      <c r="K103" s="301">
        <v>19528760</v>
      </c>
    </row>
    <row r="104" spans="2:11" x14ac:dyDescent="0.35">
      <c r="B104" s="25">
        <v>2020</v>
      </c>
      <c r="C104" s="78">
        <v>11</v>
      </c>
      <c r="D104" s="268">
        <v>20908780</v>
      </c>
      <c r="E104" s="116">
        <v>24436260</v>
      </c>
      <c r="F104" s="116">
        <v>20482220</v>
      </c>
      <c r="G104" s="301">
        <v>18243000</v>
      </c>
      <c r="H104" s="268">
        <v>19354450</v>
      </c>
      <c r="I104" s="116">
        <v>19986830</v>
      </c>
      <c r="J104" s="116">
        <v>19172650</v>
      </c>
      <c r="K104" s="301">
        <v>17010220</v>
      </c>
    </row>
    <row r="105" spans="2:11" x14ac:dyDescent="0.35">
      <c r="B105" s="25">
        <v>2020</v>
      </c>
      <c r="C105" s="78">
        <v>12</v>
      </c>
      <c r="D105" s="268">
        <v>21875950</v>
      </c>
      <c r="E105" s="116">
        <v>26306280</v>
      </c>
      <c r="F105" s="116">
        <v>21984970</v>
      </c>
      <c r="G105" s="301">
        <v>20377660</v>
      </c>
      <c r="H105" s="268">
        <v>21169590</v>
      </c>
      <c r="I105" s="116">
        <v>21306290</v>
      </c>
      <c r="J105" s="116">
        <v>20739540</v>
      </c>
      <c r="K105" s="301">
        <v>18800570</v>
      </c>
    </row>
    <row r="106" spans="2:11" x14ac:dyDescent="0.35">
      <c r="B106" s="25">
        <v>2021</v>
      </c>
      <c r="C106" s="78">
        <v>1</v>
      </c>
      <c r="D106" s="268">
        <v>24477160</v>
      </c>
      <c r="E106" s="116">
        <v>28273510</v>
      </c>
      <c r="F106" s="116">
        <v>23653940</v>
      </c>
      <c r="G106" s="301">
        <v>21957210</v>
      </c>
      <c r="H106" s="268">
        <v>22611550</v>
      </c>
      <c r="I106" s="116">
        <v>23630250</v>
      </c>
      <c r="J106" s="116">
        <v>22106560</v>
      </c>
      <c r="K106" s="301">
        <v>20824420</v>
      </c>
    </row>
    <row r="107" spans="2:11" x14ac:dyDescent="0.35">
      <c r="B107" s="25">
        <v>2021</v>
      </c>
      <c r="C107" s="78">
        <v>2</v>
      </c>
      <c r="D107" s="268">
        <v>19258750</v>
      </c>
      <c r="E107" s="116">
        <v>24009040</v>
      </c>
      <c r="F107" s="116">
        <v>18926230</v>
      </c>
      <c r="G107" s="301">
        <v>17209530</v>
      </c>
      <c r="H107" s="268">
        <v>17544620</v>
      </c>
      <c r="I107" s="116">
        <v>18038880</v>
      </c>
      <c r="J107" s="116">
        <v>16941360</v>
      </c>
      <c r="K107" s="301">
        <v>16022170</v>
      </c>
    </row>
    <row r="108" spans="2:11" x14ac:dyDescent="0.35">
      <c r="B108" s="25">
        <v>2021</v>
      </c>
      <c r="C108" s="78">
        <v>3</v>
      </c>
      <c r="D108" s="268">
        <v>20908230</v>
      </c>
      <c r="E108" s="116">
        <v>24941120</v>
      </c>
      <c r="F108" s="116">
        <v>20458170</v>
      </c>
      <c r="G108" s="301">
        <v>18443010</v>
      </c>
      <c r="H108" s="268">
        <v>18438590</v>
      </c>
      <c r="I108" s="116">
        <v>19886670</v>
      </c>
      <c r="J108" s="116">
        <v>18035820</v>
      </c>
      <c r="K108" s="301">
        <v>16909570</v>
      </c>
    </row>
    <row r="109" spans="2:11" x14ac:dyDescent="0.35">
      <c r="B109" s="25">
        <v>2021</v>
      </c>
      <c r="C109" s="78">
        <v>4</v>
      </c>
      <c r="D109" s="268">
        <v>16172360</v>
      </c>
      <c r="E109" s="116">
        <v>20213320</v>
      </c>
      <c r="F109" s="116">
        <v>15566790</v>
      </c>
      <c r="G109" s="301">
        <v>14014550</v>
      </c>
      <c r="H109" s="268">
        <v>13882710</v>
      </c>
      <c r="I109" s="116">
        <v>14868500</v>
      </c>
      <c r="J109" s="116">
        <v>13419540</v>
      </c>
      <c r="K109" s="301">
        <v>12441420</v>
      </c>
    </row>
    <row r="110" spans="2:11" x14ac:dyDescent="0.35">
      <c r="B110" s="25">
        <v>2021</v>
      </c>
      <c r="C110" s="78">
        <v>5</v>
      </c>
      <c r="D110" s="268">
        <v>17635950</v>
      </c>
      <c r="E110" s="116">
        <v>17978440</v>
      </c>
      <c r="F110" s="116">
        <v>17252770</v>
      </c>
      <c r="G110" s="301">
        <v>15196060</v>
      </c>
      <c r="H110" s="268">
        <v>16356050</v>
      </c>
      <c r="I110" s="116">
        <v>17250690</v>
      </c>
      <c r="J110" s="116">
        <v>15532410</v>
      </c>
      <c r="K110" s="301">
        <v>14271370</v>
      </c>
    </row>
    <row r="111" spans="2:11" x14ac:dyDescent="0.35">
      <c r="B111" s="25">
        <v>2021</v>
      </c>
      <c r="C111" s="78">
        <v>6</v>
      </c>
      <c r="D111" s="268">
        <v>18813920</v>
      </c>
      <c r="E111" s="116">
        <v>26142760</v>
      </c>
      <c r="F111" s="116">
        <v>18931960</v>
      </c>
      <c r="G111" s="301">
        <v>17758440</v>
      </c>
      <c r="H111" s="268">
        <v>17869040</v>
      </c>
      <c r="I111" s="116">
        <v>18337120</v>
      </c>
      <c r="J111" s="116">
        <v>17330000</v>
      </c>
      <c r="K111" s="301">
        <v>16199390</v>
      </c>
    </row>
    <row r="112" spans="2:11" x14ac:dyDescent="0.35">
      <c r="B112" s="25">
        <v>2021</v>
      </c>
      <c r="C112" s="78">
        <v>7</v>
      </c>
      <c r="D112" s="268">
        <v>25036890</v>
      </c>
      <c r="E112" s="116">
        <v>29092130</v>
      </c>
      <c r="F112" s="116">
        <v>24559440</v>
      </c>
      <c r="G112" s="301">
        <v>23373870</v>
      </c>
      <c r="H112" s="268">
        <v>23790910</v>
      </c>
      <c r="I112" s="116">
        <v>24323280</v>
      </c>
      <c r="J112" s="116">
        <v>22899290</v>
      </c>
      <c r="K112" s="301">
        <v>21808670</v>
      </c>
    </row>
    <row r="113" spans="2:11" x14ac:dyDescent="0.35">
      <c r="B113" s="25">
        <v>2021</v>
      </c>
      <c r="C113" s="78">
        <v>8</v>
      </c>
      <c r="D113" s="268">
        <v>24166830</v>
      </c>
      <c r="E113" s="116">
        <v>28346230</v>
      </c>
      <c r="F113" s="116">
        <v>23621580</v>
      </c>
      <c r="G113" s="301">
        <v>22251590</v>
      </c>
      <c r="H113" s="268">
        <v>22575800</v>
      </c>
      <c r="I113" s="116">
        <v>23266180</v>
      </c>
      <c r="J113" s="116">
        <v>22249260</v>
      </c>
      <c r="K113" s="301">
        <v>20848600</v>
      </c>
    </row>
    <row r="114" spans="2:11" x14ac:dyDescent="0.35">
      <c r="B114" s="25">
        <v>2021</v>
      </c>
      <c r="C114" s="78">
        <v>9</v>
      </c>
      <c r="D114" s="268">
        <v>19427480</v>
      </c>
      <c r="E114" s="116">
        <v>25789770</v>
      </c>
      <c r="F114" s="116">
        <v>19520130</v>
      </c>
      <c r="G114" s="301">
        <v>17737420</v>
      </c>
      <c r="H114" s="268">
        <v>18206530</v>
      </c>
      <c r="I114" s="116">
        <v>18583030</v>
      </c>
      <c r="J114" s="116">
        <v>17774080</v>
      </c>
      <c r="K114" s="301">
        <v>16525150</v>
      </c>
    </row>
    <row r="115" spans="2:11" x14ac:dyDescent="0.35">
      <c r="B115" s="25">
        <v>2021</v>
      </c>
      <c r="C115" s="78">
        <v>10</v>
      </c>
      <c r="D115" s="268">
        <v>20097170</v>
      </c>
      <c r="E115" s="116">
        <v>24777720</v>
      </c>
      <c r="F115" s="116">
        <v>19325970</v>
      </c>
      <c r="G115" s="301">
        <v>17891350</v>
      </c>
      <c r="H115" s="268">
        <v>18391430</v>
      </c>
      <c r="I115" s="116">
        <v>19346040</v>
      </c>
      <c r="J115" s="116">
        <v>17059170</v>
      </c>
      <c r="K115" s="301">
        <v>16286210</v>
      </c>
    </row>
    <row r="116" spans="2:11" x14ac:dyDescent="0.35">
      <c r="B116" s="25">
        <v>2021</v>
      </c>
      <c r="C116" s="78">
        <v>11</v>
      </c>
      <c r="D116" s="268">
        <v>18626040</v>
      </c>
      <c r="E116" s="116">
        <v>25126800</v>
      </c>
      <c r="F116" s="116">
        <v>17869590</v>
      </c>
      <c r="G116" s="301">
        <v>16294250</v>
      </c>
      <c r="H116" s="268">
        <v>16903180</v>
      </c>
      <c r="I116" s="116">
        <v>17501340</v>
      </c>
      <c r="J116" s="116">
        <v>16068250</v>
      </c>
      <c r="K116" s="301">
        <v>14897700</v>
      </c>
    </row>
    <row r="117" spans="2:11" x14ac:dyDescent="0.35">
      <c r="B117" s="25">
        <v>2021</v>
      </c>
      <c r="C117" s="78">
        <v>12</v>
      </c>
      <c r="D117" s="268">
        <v>22213760</v>
      </c>
      <c r="E117" s="116">
        <v>28086860</v>
      </c>
      <c r="F117" s="116">
        <v>22083100</v>
      </c>
      <c r="G117" s="301">
        <v>20269870</v>
      </c>
      <c r="H117" s="268">
        <v>20415500</v>
      </c>
      <c r="I117" s="116">
        <v>21631280</v>
      </c>
      <c r="J117" s="116">
        <v>19847140</v>
      </c>
      <c r="K117" s="301">
        <v>18392930</v>
      </c>
    </row>
    <row r="118" spans="2:11" x14ac:dyDescent="0.35">
      <c r="B118" s="25">
        <v>2022</v>
      </c>
      <c r="C118" s="78">
        <v>1</v>
      </c>
      <c r="D118" s="268">
        <v>22868540</v>
      </c>
      <c r="E118" s="116">
        <v>27876230</v>
      </c>
      <c r="F118" s="116">
        <v>22247000</v>
      </c>
      <c r="G118" s="301">
        <v>19257730</v>
      </c>
      <c r="H118" s="268">
        <v>21540750</v>
      </c>
      <c r="I118" s="116">
        <v>22504810</v>
      </c>
      <c r="J118" s="116">
        <v>20775400</v>
      </c>
      <c r="K118" s="301">
        <v>16973740</v>
      </c>
    </row>
    <row r="119" spans="2:11" x14ac:dyDescent="0.35">
      <c r="B119" s="25">
        <v>2022</v>
      </c>
      <c r="C119" s="78">
        <v>2</v>
      </c>
      <c r="D119" s="268">
        <v>17785680</v>
      </c>
      <c r="E119" s="116">
        <v>23886580</v>
      </c>
      <c r="F119" s="116">
        <v>17329960</v>
      </c>
      <c r="G119" s="301">
        <v>14156730</v>
      </c>
      <c r="H119" s="268">
        <v>15801590</v>
      </c>
      <c r="I119" s="116">
        <v>16735460</v>
      </c>
      <c r="J119" s="116">
        <v>15445360</v>
      </c>
      <c r="K119" s="301">
        <v>12782190</v>
      </c>
    </row>
    <row r="120" spans="2:11" x14ac:dyDescent="0.35">
      <c r="B120" s="25">
        <v>2022</v>
      </c>
      <c r="C120" s="78">
        <v>3</v>
      </c>
      <c r="D120" s="268">
        <v>17947800</v>
      </c>
      <c r="E120" s="116">
        <v>23779990</v>
      </c>
      <c r="F120" s="116">
        <v>17454880</v>
      </c>
      <c r="G120" s="301">
        <v>14794830</v>
      </c>
      <c r="H120" s="268">
        <v>15140980</v>
      </c>
      <c r="I120" s="116">
        <v>16689570</v>
      </c>
      <c r="J120" s="116">
        <v>14922750</v>
      </c>
      <c r="K120" s="301">
        <v>13218370</v>
      </c>
    </row>
    <row r="121" spans="2:11" x14ac:dyDescent="0.35">
      <c r="B121" s="25">
        <v>2022</v>
      </c>
      <c r="C121" s="78">
        <v>4</v>
      </c>
      <c r="D121" s="268">
        <v>19713150</v>
      </c>
      <c r="E121" s="116">
        <v>23078110</v>
      </c>
      <c r="F121" s="116">
        <v>19354770</v>
      </c>
      <c r="G121" s="301">
        <v>16464040</v>
      </c>
      <c r="H121" s="268">
        <v>16771120</v>
      </c>
      <c r="I121" s="116">
        <v>17755740</v>
      </c>
      <c r="J121" s="116">
        <v>15901240</v>
      </c>
      <c r="K121" s="301">
        <v>13877590</v>
      </c>
    </row>
    <row r="122" spans="2:11" x14ac:dyDescent="0.35">
      <c r="B122" s="25">
        <v>2022</v>
      </c>
      <c r="C122" s="78">
        <v>5</v>
      </c>
      <c r="D122" s="268">
        <v>18434800</v>
      </c>
      <c r="E122" s="116">
        <v>22553500</v>
      </c>
      <c r="F122" s="116">
        <v>17738100</v>
      </c>
      <c r="G122" s="301">
        <v>14503580</v>
      </c>
      <c r="H122" s="268">
        <v>16467080</v>
      </c>
      <c r="I122" s="116">
        <v>16767120</v>
      </c>
      <c r="J122" s="116">
        <v>15482030</v>
      </c>
      <c r="K122" s="301">
        <v>13321570</v>
      </c>
    </row>
    <row r="123" spans="2:11" x14ac:dyDescent="0.35">
      <c r="B123" s="25">
        <v>2022</v>
      </c>
      <c r="C123" s="78">
        <v>6</v>
      </c>
      <c r="D123" s="268">
        <v>17935420</v>
      </c>
      <c r="E123" s="116">
        <v>25721880</v>
      </c>
      <c r="F123" s="116">
        <v>17506020</v>
      </c>
      <c r="G123" s="301">
        <v>15006680</v>
      </c>
      <c r="H123" s="268">
        <v>16036410</v>
      </c>
      <c r="I123" s="116">
        <v>16937500</v>
      </c>
      <c r="J123" s="116">
        <v>15025520</v>
      </c>
      <c r="K123" s="301">
        <v>13876830</v>
      </c>
    </row>
    <row r="124" spans="2:11" x14ac:dyDescent="0.35">
      <c r="B124" s="25">
        <v>2022</v>
      </c>
      <c r="C124" s="78">
        <v>7</v>
      </c>
      <c r="D124" s="268">
        <v>23640980</v>
      </c>
      <c r="E124" s="116">
        <v>28711200</v>
      </c>
      <c r="F124" s="116">
        <v>22762240</v>
      </c>
      <c r="G124" s="301">
        <v>20767570</v>
      </c>
      <c r="H124" s="268">
        <v>22081300</v>
      </c>
      <c r="I124" s="116">
        <v>22807200</v>
      </c>
      <c r="J124" s="116">
        <v>21165420</v>
      </c>
      <c r="K124" s="301">
        <v>18591720</v>
      </c>
    </row>
    <row r="125" spans="2:11" x14ac:dyDescent="0.35">
      <c r="B125" s="25">
        <v>2022</v>
      </c>
      <c r="C125" s="78">
        <v>8</v>
      </c>
      <c r="D125" s="268">
        <v>22869450</v>
      </c>
      <c r="E125" s="116">
        <v>28194700</v>
      </c>
      <c r="F125" s="116">
        <v>22204100</v>
      </c>
      <c r="G125" s="301">
        <v>19350030</v>
      </c>
      <c r="H125" s="268">
        <v>21261640</v>
      </c>
      <c r="I125" s="116">
        <v>22103410</v>
      </c>
      <c r="J125" s="116">
        <v>20652980</v>
      </c>
      <c r="K125" s="301">
        <v>17972550</v>
      </c>
    </row>
    <row r="126" spans="2:11" x14ac:dyDescent="0.35">
      <c r="B126" s="25">
        <v>2022</v>
      </c>
      <c r="C126" s="78">
        <v>9</v>
      </c>
      <c r="D126" s="268">
        <v>17734150</v>
      </c>
      <c r="E126" s="116">
        <v>25315220</v>
      </c>
      <c r="F126" s="116">
        <v>17718730</v>
      </c>
      <c r="G126" s="301">
        <v>14467950</v>
      </c>
      <c r="H126" s="268">
        <v>16135190</v>
      </c>
      <c r="I126" s="116">
        <v>16762430</v>
      </c>
      <c r="J126" s="116">
        <v>15732430</v>
      </c>
      <c r="K126" s="301">
        <v>12813780</v>
      </c>
    </row>
    <row r="127" spans="2:11" x14ac:dyDescent="0.35">
      <c r="B127" s="25">
        <v>2022</v>
      </c>
      <c r="C127" s="78">
        <v>10</v>
      </c>
      <c r="D127" s="268">
        <v>17170800</v>
      </c>
      <c r="E127" s="116">
        <v>18699480</v>
      </c>
      <c r="F127" s="116">
        <v>16409020</v>
      </c>
      <c r="G127" s="301">
        <v>13504640</v>
      </c>
      <c r="H127" s="268">
        <v>15521110</v>
      </c>
      <c r="I127" s="116">
        <v>16577940</v>
      </c>
      <c r="J127" s="116">
        <v>14549360</v>
      </c>
      <c r="K127" s="301">
        <v>12532500</v>
      </c>
    </row>
    <row r="128" spans="2:11" x14ac:dyDescent="0.35">
      <c r="B128" s="25">
        <v>2022</v>
      </c>
      <c r="C128" s="78">
        <v>11</v>
      </c>
      <c r="D128" s="268">
        <v>17094350</v>
      </c>
      <c r="E128" s="116">
        <v>24553030</v>
      </c>
      <c r="F128" s="116">
        <v>16658690</v>
      </c>
      <c r="G128" s="301">
        <v>13312260</v>
      </c>
      <c r="H128" s="268">
        <v>15287950</v>
      </c>
      <c r="I128" s="116">
        <v>16241760</v>
      </c>
      <c r="J128" s="116">
        <v>15426680</v>
      </c>
      <c r="K128" s="301">
        <v>12949770</v>
      </c>
    </row>
    <row r="129" spans="2:11" x14ac:dyDescent="0.35">
      <c r="B129" s="25">
        <v>2022</v>
      </c>
      <c r="C129" s="78">
        <v>12</v>
      </c>
      <c r="D129" s="268">
        <v>20200480</v>
      </c>
      <c r="E129" s="116">
        <v>27380000</v>
      </c>
      <c r="F129" s="116">
        <v>19830390</v>
      </c>
      <c r="G129" s="301">
        <v>15979050</v>
      </c>
      <c r="H129" s="268">
        <v>17966130</v>
      </c>
      <c r="I129" s="116">
        <v>19075060</v>
      </c>
      <c r="J129" s="116">
        <v>17111410</v>
      </c>
      <c r="K129" s="301">
        <v>14976350</v>
      </c>
    </row>
    <row r="130" spans="2:11" x14ac:dyDescent="0.35">
      <c r="B130" s="25">
        <v>2023</v>
      </c>
      <c r="C130" s="78">
        <v>1</v>
      </c>
      <c r="D130" s="268">
        <v>22227300</v>
      </c>
      <c r="E130" s="116">
        <v>27546170</v>
      </c>
      <c r="F130" s="116">
        <v>21935370</v>
      </c>
      <c r="G130" s="301">
        <v>18903100</v>
      </c>
      <c r="H130" s="268">
        <v>20895680</v>
      </c>
      <c r="I130" s="116">
        <v>21907230</v>
      </c>
      <c r="J130" s="116">
        <v>19951650</v>
      </c>
      <c r="K130" s="301">
        <v>16950300</v>
      </c>
    </row>
    <row r="131" spans="2:11" x14ac:dyDescent="0.35">
      <c r="B131" s="25">
        <v>2023</v>
      </c>
      <c r="C131" s="78">
        <v>2</v>
      </c>
      <c r="D131" s="268">
        <v>18558420</v>
      </c>
      <c r="E131" s="116">
        <v>24084110</v>
      </c>
      <c r="F131" s="116">
        <v>17765300</v>
      </c>
      <c r="G131" s="301">
        <v>15186100</v>
      </c>
      <c r="H131" s="268">
        <v>15834450</v>
      </c>
      <c r="I131" s="116">
        <v>17442840</v>
      </c>
      <c r="J131" s="116">
        <v>15080760</v>
      </c>
      <c r="K131" s="301">
        <v>13114920</v>
      </c>
    </row>
    <row r="132" spans="2:11" x14ac:dyDescent="0.35">
      <c r="B132" s="25">
        <v>2023</v>
      </c>
      <c r="C132" s="78">
        <v>3</v>
      </c>
      <c r="D132" s="268">
        <v>17504480</v>
      </c>
      <c r="E132" s="116">
        <v>24895460</v>
      </c>
      <c r="F132" s="116">
        <v>16887700</v>
      </c>
      <c r="G132" s="301">
        <v>13643870</v>
      </c>
      <c r="H132" s="268">
        <v>14552150</v>
      </c>
      <c r="I132" s="116">
        <v>16189420</v>
      </c>
      <c r="J132" s="116">
        <v>13170340</v>
      </c>
      <c r="K132" s="301">
        <v>12535390</v>
      </c>
    </row>
    <row r="133" spans="2:11" x14ac:dyDescent="0.35">
      <c r="B133" s="25">
        <v>2023</v>
      </c>
      <c r="C133" s="78">
        <v>4</v>
      </c>
      <c r="D133" s="268">
        <v>17791010</v>
      </c>
      <c r="E133" s="116">
        <v>20535840</v>
      </c>
      <c r="F133" s="116">
        <v>17373450</v>
      </c>
      <c r="G133" s="301">
        <v>14198330</v>
      </c>
      <c r="H133" s="268">
        <v>15556770</v>
      </c>
      <c r="I133" s="116">
        <v>16008650</v>
      </c>
      <c r="J133" s="116">
        <v>14702500</v>
      </c>
      <c r="K133" s="301">
        <v>12314900</v>
      </c>
    </row>
    <row r="134" spans="2:11" x14ac:dyDescent="0.35">
      <c r="B134" s="25">
        <v>2023</v>
      </c>
      <c r="C134" s="78">
        <v>5</v>
      </c>
      <c r="D134" s="268">
        <v>16913540</v>
      </c>
      <c r="E134" s="116">
        <v>17850700</v>
      </c>
      <c r="F134" s="116">
        <v>15765900</v>
      </c>
      <c r="G134" s="301">
        <v>14617710</v>
      </c>
      <c r="H134" s="268">
        <v>14818940</v>
      </c>
      <c r="I134" s="116">
        <v>16002350</v>
      </c>
      <c r="J134" s="116">
        <v>14542720</v>
      </c>
      <c r="K134" s="301">
        <v>11814190</v>
      </c>
    </row>
    <row r="135" spans="2:11" x14ac:dyDescent="0.35">
      <c r="B135" s="25">
        <v>2023</v>
      </c>
      <c r="C135" s="78">
        <v>6</v>
      </c>
      <c r="D135" s="268">
        <v>18058710</v>
      </c>
      <c r="E135" s="116">
        <v>25767590</v>
      </c>
      <c r="F135" s="116">
        <v>17682770</v>
      </c>
      <c r="G135" s="301">
        <v>14913910</v>
      </c>
      <c r="H135" s="268">
        <v>15960720</v>
      </c>
      <c r="I135" s="116">
        <v>17053350</v>
      </c>
      <c r="J135" s="116">
        <v>15296050</v>
      </c>
      <c r="K135" s="301">
        <v>13534950</v>
      </c>
    </row>
    <row r="136" spans="2:11" x14ac:dyDescent="0.35">
      <c r="B136" s="25">
        <v>2023</v>
      </c>
      <c r="C136" s="78">
        <v>7</v>
      </c>
      <c r="D136" s="268">
        <v>23180210</v>
      </c>
      <c r="E136" s="116">
        <v>28346340</v>
      </c>
      <c r="F136" s="116">
        <v>22977720</v>
      </c>
      <c r="G136" s="301">
        <v>20017320</v>
      </c>
      <c r="H136" s="268">
        <v>21562300</v>
      </c>
      <c r="I136" s="116">
        <v>22253620</v>
      </c>
      <c r="J136" s="116">
        <v>20492900</v>
      </c>
      <c r="K136" s="301">
        <v>17970510</v>
      </c>
    </row>
    <row r="137" spans="2:11" x14ac:dyDescent="0.35">
      <c r="B137" s="25">
        <v>2023</v>
      </c>
      <c r="C137" s="78">
        <v>8</v>
      </c>
      <c r="D137" s="268">
        <v>22717450</v>
      </c>
      <c r="E137" s="116">
        <v>27827350</v>
      </c>
      <c r="F137" s="116">
        <v>22150640</v>
      </c>
      <c r="G137" s="301">
        <v>20091180</v>
      </c>
      <c r="H137" s="268">
        <v>20976180</v>
      </c>
      <c r="I137" s="116">
        <v>21983320</v>
      </c>
      <c r="J137" s="116">
        <v>20681590</v>
      </c>
      <c r="K137" s="301">
        <v>18069900</v>
      </c>
    </row>
    <row r="138" spans="2:11" x14ac:dyDescent="0.35">
      <c r="B138" s="25">
        <v>2023</v>
      </c>
      <c r="C138" s="78">
        <v>9</v>
      </c>
      <c r="D138" s="268">
        <v>18498550</v>
      </c>
      <c r="E138" s="116">
        <v>25204090</v>
      </c>
      <c r="F138" s="116">
        <v>17816730</v>
      </c>
      <c r="G138" s="301">
        <v>15779520</v>
      </c>
      <c r="H138" s="268">
        <v>16631720</v>
      </c>
      <c r="I138" s="116">
        <v>17558980</v>
      </c>
      <c r="J138" s="116">
        <v>16307400</v>
      </c>
      <c r="K138" s="301">
        <v>13955240</v>
      </c>
    </row>
    <row r="139" spans="2:11" x14ac:dyDescent="0.35">
      <c r="B139" s="25">
        <v>2023</v>
      </c>
      <c r="C139" s="78">
        <v>10</v>
      </c>
      <c r="D139" s="268">
        <v>21216430</v>
      </c>
      <c r="E139" s="116">
        <v>25227330</v>
      </c>
      <c r="F139" s="116">
        <v>20182960</v>
      </c>
      <c r="G139" s="301">
        <v>16825570</v>
      </c>
      <c r="H139" s="268">
        <v>18709410</v>
      </c>
      <c r="I139" s="116">
        <v>19875250</v>
      </c>
      <c r="J139" s="116">
        <v>18036000</v>
      </c>
      <c r="K139" s="301">
        <v>15006990</v>
      </c>
    </row>
    <row r="140" spans="2:11" x14ac:dyDescent="0.35">
      <c r="B140" s="25">
        <v>2023</v>
      </c>
      <c r="C140" s="78">
        <v>11</v>
      </c>
      <c r="D140" s="268">
        <v>19151970</v>
      </c>
      <c r="E140" s="116">
        <v>25190500</v>
      </c>
      <c r="F140" s="116">
        <v>18706420</v>
      </c>
      <c r="G140" s="301">
        <v>15429030</v>
      </c>
      <c r="H140" s="268">
        <v>17109750</v>
      </c>
      <c r="I140" s="116">
        <v>17909900</v>
      </c>
      <c r="J140" s="116">
        <v>16109430</v>
      </c>
      <c r="K140" s="301">
        <v>13721310</v>
      </c>
    </row>
    <row r="141" spans="2:11" x14ac:dyDescent="0.35">
      <c r="B141" s="25">
        <v>2023</v>
      </c>
      <c r="C141" s="78">
        <v>12</v>
      </c>
      <c r="D141" s="268">
        <v>20130710</v>
      </c>
      <c r="E141" s="116">
        <v>26452830</v>
      </c>
      <c r="F141" s="116">
        <v>19538650</v>
      </c>
      <c r="G141" s="301">
        <v>16244890</v>
      </c>
      <c r="H141" s="268">
        <v>17219930</v>
      </c>
      <c r="I141" s="116">
        <v>18765430</v>
      </c>
      <c r="J141" s="116">
        <v>17224110</v>
      </c>
      <c r="K141" s="301">
        <v>15580250</v>
      </c>
    </row>
    <row r="142" spans="2:11" x14ac:dyDescent="0.35">
      <c r="B142" s="25">
        <v>2024</v>
      </c>
      <c r="C142" s="78">
        <v>1</v>
      </c>
      <c r="D142" s="268">
        <v>24507670</v>
      </c>
      <c r="E142" s="116">
        <v>27404990</v>
      </c>
      <c r="F142" s="116">
        <v>23733050</v>
      </c>
      <c r="G142" s="301">
        <v>20754770</v>
      </c>
      <c r="H142" s="268">
        <v>22216170</v>
      </c>
      <c r="I142" s="116">
        <v>23556800</v>
      </c>
      <c r="J142" s="116">
        <v>21208110</v>
      </c>
      <c r="K142" s="301">
        <v>18772820</v>
      </c>
    </row>
    <row r="143" spans="2:11" x14ac:dyDescent="0.35">
      <c r="B143" s="25">
        <v>2024</v>
      </c>
      <c r="C143" s="78">
        <v>2</v>
      </c>
      <c r="D143" s="268">
        <v>21609830</v>
      </c>
      <c r="E143" s="116">
        <v>24096220</v>
      </c>
      <c r="F143" s="116">
        <v>20283160</v>
      </c>
      <c r="G143" s="301">
        <v>18669910</v>
      </c>
      <c r="H143" s="268">
        <v>18718480</v>
      </c>
      <c r="I143" s="116">
        <v>20512250</v>
      </c>
      <c r="J143" s="116">
        <v>17997600</v>
      </c>
      <c r="K143" s="301">
        <v>16416970</v>
      </c>
    </row>
    <row r="144" spans="2:11" x14ac:dyDescent="0.35">
      <c r="B144" s="25">
        <v>2024</v>
      </c>
      <c r="C144" s="78">
        <v>3</v>
      </c>
      <c r="D144" s="268">
        <v>19574920</v>
      </c>
      <c r="E144" s="116">
        <v>24191190</v>
      </c>
      <c r="F144" s="116">
        <v>18218540</v>
      </c>
      <c r="G144" s="301">
        <v>15608490</v>
      </c>
      <c r="H144" s="268">
        <v>16135060</v>
      </c>
      <c r="I144" s="116">
        <v>18313560</v>
      </c>
      <c r="J144" s="116">
        <v>15430490</v>
      </c>
      <c r="K144" s="301">
        <v>14647270</v>
      </c>
    </row>
    <row r="145" spans="2:11" x14ac:dyDescent="0.35">
      <c r="B145" s="25">
        <v>2024</v>
      </c>
      <c r="C145" s="78">
        <v>4</v>
      </c>
      <c r="D145" s="268">
        <v>15888900</v>
      </c>
      <c r="E145" s="116">
        <v>21505970</v>
      </c>
      <c r="F145" s="116">
        <v>15615080</v>
      </c>
      <c r="G145" s="301">
        <v>13510840</v>
      </c>
      <c r="H145" s="268">
        <v>13818130</v>
      </c>
      <c r="I145" s="116">
        <v>14597050</v>
      </c>
      <c r="J145" s="116">
        <v>13669730</v>
      </c>
      <c r="K145" s="301">
        <v>12928860</v>
      </c>
    </row>
    <row r="146" spans="2:11" x14ac:dyDescent="0.35">
      <c r="B146" s="25">
        <v>2024</v>
      </c>
      <c r="C146" s="78">
        <v>5</v>
      </c>
      <c r="D146" s="268">
        <v>16527230</v>
      </c>
      <c r="E146" s="116">
        <v>22355810</v>
      </c>
      <c r="F146" s="116">
        <v>15729410</v>
      </c>
      <c r="G146" s="301">
        <v>13241760</v>
      </c>
      <c r="H146" s="268">
        <v>14185570</v>
      </c>
      <c r="I146" s="116">
        <v>14138750</v>
      </c>
      <c r="J146" s="116">
        <v>13120510</v>
      </c>
      <c r="K146" s="301">
        <v>12130230</v>
      </c>
    </row>
    <row r="147" spans="2:11" x14ac:dyDescent="0.35">
      <c r="B147" s="25">
        <v>2024</v>
      </c>
      <c r="C147" s="78">
        <v>6</v>
      </c>
      <c r="D147" s="268">
        <v>19688750</v>
      </c>
      <c r="E147" s="116">
        <v>25408940</v>
      </c>
      <c r="F147" s="116">
        <v>19203580</v>
      </c>
      <c r="G147" s="301">
        <v>17335260</v>
      </c>
      <c r="H147" s="268">
        <v>18200880</v>
      </c>
      <c r="I147" s="116">
        <v>19051280</v>
      </c>
      <c r="J147" s="116">
        <v>16992960</v>
      </c>
      <c r="K147" s="301">
        <v>16003840</v>
      </c>
    </row>
    <row r="148" spans="2:11" x14ac:dyDescent="0.35">
      <c r="B148" s="25">
        <v>2024</v>
      </c>
      <c r="C148" s="78">
        <v>7</v>
      </c>
      <c r="D148" s="268">
        <v>25305510</v>
      </c>
      <c r="E148" s="116">
        <v>28048520</v>
      </c>
      <c r="F148" s="116">
        <v>24836020</v>
      </c>
      <c r="G148" s="301">
        <v>22250930</v>
      </c>
      <c r="H148" s="268">
        <v>22973920</v>
      </c>
      <c r="I148" s="116">
        <v>24127520</v>
      </c>
      <c r="J148" s="116">
        <v>21750430</v>
      </c>
      <c r="K148" s="301">
        <v>19508790</v>
      </c>
    </row>
    <row r="149" spans="2:11" x14ac:dyDescent="0.35">
      <c r="B149" s="25">
        <v>2024</v>
      </c>
      <c r="C149" s="78">
        <v>8</v>
      </c>
      <c r="D149" s="268">
        <v>24868930</v>
      </c>
      <c r="E149" s="116">
        <v>27795190</v>
      </c>
      <c r="F149" s="116">
        <v>24415000</v>
      </c>
      <c r="G149" s="301">
        <v>22308640</v>
      </c>
      <c r="H149" s="268">
        <v>23175820</v>
      </c>
      <c r="I149" s="116">
        <v>23815250</v>
      </c>
      <c r="J149" s="116">
        <v>22012410</v>
      </c>
      <c r="K149" s="301">
        <v>20031980</v>
      </c>
    </row>
    <row r="150" spans="2:11" x14ac:dyDescent="0.35">
      <c r="B150" s="25">
        <v>2024</v>
      </c>
      <c r="C150" s="78">
        <v>9</v>
      </c>
      <c r="D150" s="268">
        <v>19852150</v>
      </c>
      <c r="E150" s="116">
        <v>25014330</v>
      </c>
      <c r="F150" s="116">
        <v>19566210</v>
      </c>
      <c r="G150" s="301">
        <v>17177430</v>
      </c>
      <c r="H150" s="268">
        <v>18116300</v>
      </c>
      <c r="I150" s="116">
        <v>19243440</v>
      </c>
      <c r="J150" s="116">
        <v>16758510</v>
      </c>
      <c r="K150" s="301">
        <v>14990310</v>
      </c>
    </row>
    <row r="151" spans="2:11" x14ac:dyDescent="0.35">
      <c r="B151" s="25">
        <v>2024</v>
      </c>
      <c r="C151" s="78">
        <v>10</v>
      </c>
      <c r="D151" s="268">
        <v>20097470</v>
      </c>
      <c r="E151" s="116">
        <v>19103500</v>
      </c>
      <c r="F151" s="116">
        <v>19694710</v>
      </c>
      <c r="G151" s="301">
        <v>17308220</v>
      </c>
      <c r="H151" s="268">
        <v>18676600</v>
      </c>
      <c r="I151" s="116">
        <v>19750230</v>
      </c>
      <c r="J151" s="116">
        <v>16630400</v>
      </c>
      <c r="K151" s="301">
        <v>15821740</v>
      </c>
    </row>
    <row r="152" spans="2:11" x14ac:dyDescent="0.35">
      <c r="B152" s="25">
        <v>2024</v>
      </c>
      <c r="C152" s="78">
        <v>11</v>
      </c>
      <c r="D152" s="268">
        <v>18507910</v>
      </c>
      <c r="E152" s="116">
        <v>23768520</v>
      </c>
      <c r="F152" s="116">
        <v>18126430</v>
      </c>
      <c r="G152" s="301">
        <v>15756050</v>
      </c>
      <c r="H152" s="268">
        <v>16615150</v>
      </c>
      <c r="I152" s="116">
        <v>17115920</v>
      </c>
      <c r="J152" s="116">
        <v>15256840</v>
      </c>
      <c r="K152" s="301">
        <v>14568840</v>
      </c>
    </row>
    <row r="153" spans="2:11" x14ac:dyDescent="0.35">
      <c r="B153" s="25">
        <v>2024</v>
      </c>
      <c r="C153" s="78">
        <v>12</v>
      </c>
      <c r="D153" s="268">
        <v>21793560</v>
      </c>
      <c r="E153" s="116">
        <v>26617660</v>
      </c>
      <c r="F153" s="116">
        <v>21284140</v>
      </c>
      <c r="G153" s="301">
        <v>19018480</v>
      </c>
      <c r="H153" s="268">
        <v>19582300</v>
      </c>
      <c r="I153" s="116">
        <v>20140870</v>
      </c>
      <c r="J153" s="116">
        <v>18833360</v>
      </c>
      <c r="K153" s="301">
        <v>16710980</v>
      </c>
    </row>
    <row r="154" spans="2:11" x14ac:dyDescent="0.35">
      <c r="B154" s="25">
        <v>2025</v>
      </c>
      <c r="C154" s="78">
        <v>1</v>
      </c>
      <c r="D154" s="268">
        <v>24451710</v>
      </c>
      <c r="E154" s="116">
        <v>27568840</v>
      </c>
      <c r="F154" s="116">
        <v>23823550</v>
      </c>
      <c r="G154" s="301">
        <v>20735020</v>
      </c>
      <c r="H154" s="268">
        <v>22038780</v>
      </c>
      <c r="I154" s="116">
        <v>23522670</v>
      </c>
      <c r="J154" s="116">
        <v>20473910</v>
      </c>
      <c r="K154" s="301">
        <v>18673850</v>
      </c>
    </row>
    <row r="155" spans="2:11" x14ac:dyDescent="0.35">
      <c r="B155" s="25">
        <v>2025</v>
      </c>
      <c r="C155" s="78">
        <v>2</v>
      </c>
      <c r="D155" s="268">
        <v>19732160</v>
      </c>
      <c r="E155" s="116">
        <v>23799810</v>
      </c>
      <c r="F155" s="116">
        <v>18741760</v>
      </c>
      <c r="G155" s="301">
        <v>16600590</v>
      </c>
      <c r="H155" s="268">
        <v>16934160</v>
      </c>
      <c r="I155" s="116">
        <v>18557130</v>
      </c>
      <c r="J155" s="116">
        <v>15755270</v>
      </c>
      <c r="K155" s="301">
        <v>14303910</v>
      </c>
    </row>
    <row r="156" spans="2:11" x14ac:dyDescent="0.35">
      <c r="B156" s="25">
        <v>2025</v>
      </c>
      <c r="C156" s="78">
        <v>3</v>
      </c>
      <c r="D156" s="268">
        <v>20445490</v>
      </c>
      <c r="E156" s="116">
        <v>24401800</v>
      </c>
      <c r="F156" s="116">
        <v>19100660</v>
      </c>
      <c r="G156" s="301">
        <v>16269710</v>
      </c>
      <c r="H156" s="268">
        <v>16240680</v>
      </c>
      <c r="I156" s="116">
        <v>17542070</v>
      </c>
      <c r="J156" s="116">
        <v>15273310</v>
      </c>
      <c r="K156" s="301">
        <v>14552420</v>
      </c>
    </row>
    <row r="157" spans="2:11" x14ac:dyDescent="0.35">
      <c r="B157" s="25">
        <v>2025</v>
      </c>
      <c r="C157" s="78">
        <v>4</v>
      </c>
      <c r="D157" s="268">
        <v>20897290</v>
      </c>
      <c r="E157" s="116">
        <v>21420980</v>
      </c>
      <c r="F157" s="116">
        <v>20439280</v>
      </c>
      <c r="G157" s="301">
        <v>16810110</v>
      </c>
      <c r="H157" s="268">
        <v>18113170</v>
      </c>
      <c r="I157" s="116">
        <v>19365570</v>
      </c>
      <c r="J157" s="116">
        <v>16573420</v>
      </c>
      <c r="K157" s="301">
        <v>13803530</v>
      </c>
    </row>
    <row r="158" spans="2:11" x14ac:dyDescent="0.35">
      <c r="B158" s="25">
        <v>2025</v>
      </c>
      <c r="C158" s="78">
        <v>5</v>
      </c>
      <c r="D158" s="268">
        <v>20227920</v>
      </c>
      <c r="E158" s="116">
        <v>18999450</v>
      </c>
      <c r="F158" s="116">
        <v>18856470</v>
      </c>
      <c r="G158" s="301">
        <v>17490620</v>
      </c>
      <c r="H158" s="268">
        <v>18137050</v>
      </c>
      <c r="I158" s="116">
        <v>18270690</v>
      </c>
      <c r="J158" s="116">
        <v>15779760</v>
      </c>
      <c r="K158" s="301">
        <v>14145390</v>
      </c>
    </row>
    <row r="159" spans="2:11" x14ac:dyDescent="0.35">
      <c r="B159" s="25">
        <v>2025</v>
      </c>
      <c r="C159" s="78">
        <v>6</v>
      </c>
      <c r="D159" s="268">
        <v>20213360</v>
      </c>
      <c r="E159" s="116">
        <v>25458860</v>
      </c>
      <c r="F159" s="116">
        <v>19014790</v>
      </c>
      <c r="G159" s="301">
        <v>17504720</v>
      </c>
      <c r="H159" s="268">
        <v>18078860</v>
      </c>
      <c r="I159" s="116">
        <v>19067900</v>
      </c>
      <c r="J159" s="116">
        <v>16589120</v>
      </c>
      <c r="K159" s="301">
        <v>16085100</v>
      </c>
    </row>
    <row r="160" spans="2:11" x14ac:dyDescent="0.35">
      <c r="B160" s="25">
        <v>2025</v>
      </c>
      <c r="C160" s="78">
        <v>7</v>
      </c>
      <c r="D160" s="268">
        <v>25378730</v>
      </c>
      <c r="E160" s="116">
        <v>27958300</v>
      </c>
      <c r="F160" s="116">
        <v>24727920</v>
      </c>
      <c r="G160" s="301">
        <v>22231270</v>
      </c>
      <c r="H160" s="268">
        <v>22973560</v>
      </c>
      <c r="I160" s="116">
        <v>23960020</v>
      </c>
      <c r="J160" s="116">
        <v>21220030</v>
      </c>
      <c r="K160" s="301">
        <v>19460980</v>
      </c>
    </row>
    <row r="161" spans="2:11" x14ac:dyDescent="0.35">
      <c r="B161" s="25">
        <v>2025</v>
      </c>
      <c r="C161" s="78">
        <v>8</v>
      </c>
      <c r="D161" s="268">
        <v>25154360</v>
      </c>
      <c r="E161" s="116">
        <v>27762390</v>
      </c>
      <c r="F161" s="116">
        <v>24439810</v>
      </c>
      <c r="G161" s="301">
        <v>22585430</v>
      </c>
      <c r="H161" s="268">
        <v>23056250</v>
      </c>
      <c r="I161" s="116">
        <v>23872690</v>
      </c>
      <c r="J161" s="116">
        <v>21404060</v>
      </c>
      <c r="K161" s="301">
        <v>20055900</v>
      </c>
    </row>
    <row r="162" spans="2:11" x14ac:dyDescent="0.35">
      <c r="B162" s="25">
        <v>2025</v>
      </c>
      <c r="C162" s="78">
        <v>9</v>
      </c>
      <c r="D162" s="268">
        <v>19549410</v>
      </c>
      <c r="E162" s="116">
        <v>25150440</v>
      </c>
      <c r="F162" s="116">
        <v>18871860</v>
      </c>
      <c r="G162" s="301">
        <v>16232440</v>
      </c>
      <c r="H162" s="268">
        <v>16679450</v>
      </c>
      <c r="I162" s="116">
        <v>17591310</v>
      </c>
      <c r="J162" s="116">
        <v>15430100</v>
      </c>
      <c r="K162" s="301">
        <v>14381750</v>
      </c>
    </row>
    <row r="163" spans="2:11" x14ac:dyDescent="0.35">
      <c r="B163" s="25">
        <v>2025</v>
      </c>
      <c r="C163" s="78">
        <v>10</v>
      </c>
      <c r="D163" s="268">
        <v>18567100</v>
      </c>
      <c r="E163" s="116">
        <v>23494450</v>
      </c>
      <c r="F163" s="116">
        <v>17754570</v>
      </c>
      <c r="G163" s="301">
        <v>15613370</v>
      </c>
      <c r="H163" s="268">
        <v>15737080</v>
      </c>
      <c r="I163" s="116">
        <v>16558000</v>
      </c>
      <c r="J163" s="116">
        <v>14305160</v>
      </c>
      <c r="K163" s="301">
        <v>13855730</v>
      </c>
    </row>
    <row r="164" spans="2:11" x14ac:dyDescent="0.35">
      <c r="B164" s="25">
        <v>2025</v>
      </c>
      <c r="C164" s="78">
        <v>11</v>
      </c>
      <c r="D164" s="268">
        <v>18083370</v>
      </c>
      <c r="E164" s="116">
        <v>23792810</v>
      </c>
      <c r="F164" s="116">
        <v>17846420</v>
      </c>
      <c r="G164" s="301">
        <v>15755910</v>
      </c>
      <c r="H164" s="268">
        <v>15913220</v>
      </c>
      <c r="I164" s="116">
        <v>17348430</v>
      </c>
      <c r="J164" s="116">
        <v>15128230</v>
      </c>
      <c r="K164" s="301">
        <v>14584780</v>
      </c>
    </row>
    <row r="165" spans="2:11" x14ac:dyDescent="0.35">
      <c r="B165" s="25">
        <v>2025</v>
      </c>
      <c r="C165" s="78">
        <v>12</v>
      </c>
      <c r="D165" s="268">
        <v>21586950</v>
      </c>
      <c r="E165" s="116">
        <v>26773360</v>
      </c>
      <c r="F165" s="116">
        <v>20162280</v>
      </c>
      <c r="G165" s="301">
        <v>18908650</v>
      </c>
      <c r="H165" s="268">
        <v>19141010</v>
      </c>
      <c r="I165" s="116">
        <v>20099820</v>
      </c>
      <c r="J165" s="116">
        <v>17552050</v>
      </c>
      <c r="K165" s="301">
        <v>16782420</v>
      </c>
    </row>
    <row r="166" spans="2:11" x14ac:dyDescent="0.35">
      <c r="B166" s="25">
        <v>2026</v>
      </c>
      <c r="C166" s="78">
        <v>1</v>
      </c>
      <c r="D166" s="268">
        <v>24628490</v>
      </c>
      <c r="E166" s="116">
        <v>27500980</v>
      </c>
      <c r="F166" s="116">
        <v>23770210</v>
      </c>
      <c r="G166" s="301">
        <v>20955570</v>
      </c>
      <c r="H166" s="268">
        <v>22306170</v>
      </c>
      <c r="I166" s="116">
        <v>23591610</v>
      </c>
      <c r="J166" s="116">
        <v>19880300</v>
      </c>
      <c r="K166" s="301">
        <v>18613110</v>
      </c>
    </row>
    <row r="167" spans="2:11" x14ac:dyDescent="0.35">
      <c r="B167" s="25">
        <v>2026</v>
      </c>
      <c r="C167" s="78">
        <v>2</v>
      </c>
      <c r="D167" s="268">
        <v>20151190</v>
      </c>
      <c r="E167" s="116">
        <v>23943780</v>
      </c>
      <c r="F167" s="116">
        <v>18980190</v>
      </c>
      <c r="G167" s="301">
        <v>16509610</v>
      </c>
      <c r="H167" s="268">
        <v>16933460</v>
      </c>
      <c r="I167" s="116">
        <v>18678370</v>
      </c>
      <c r="J167" s="116">
        <v>15785700</v>
      </c>
      <c r="K167" s="301">
        <v>14182420</v>
      </c>
    </row>
    <row r="168" spans="2:11" x14ac:dyDescent="0.35">
      <c r="B168" s="25">
        <v>2026</v>
      </c>
      <c r="C168" s="78">
        <v>3</v>
      </c>
      <c r="D168" s="268">
        <v>20326020</v>
      </c>
      <c r="E168" s="116">
        <v>24453910</v>
      </c>
      <c r="F168" s="116">
        <v>18433030</v>
      </c>
      <c r="G168" s="301">
        <v>16103880</v>
      </c>
      <c r="H168" s="268">
        <v>15837370</v>
      </c>
      <c r="I168" s="116">
        <v>17375070</v>
      </c>
      <c r="J168" s="116">
        <v>15475660</v>
      </c>
      <c r="K168" s="301">
        <v>14471910</v>
      </c>
    </row>
    <row r="169" spans="2:11" x14ac:dyDescent="0.35">
      <c r="B169" s="25">
        <v>2026</v>
      </c>
      <c r="C169" s="78">
        <v>4</v>
      </c>
      <c r="D169" s="268">
        <v>18380920</v>
      </c>
      <c r="E169" s="116">
        <v>22079910</v>
      </c>
      <c r="F169" s="116">
        <v>17885400</v>
      </c>
      <c r="G169" s="301">
        <v>14853020</v>
      </c>
      <c r="H169" s="268">
        <v>15240090</v>
      </c>
      <c r="I169" s="116">
        <v>16854190</v>
      </c>
      <c r="J169" s="116">
        <v>14993830</v>
      </c>
      <c r="K169" s="301">
        <v>13788080</v>
      </c>
    </row>
    <row r="170" spans="2:11" x14ac:dyDescent="0.35">
      <c r="B170" s="25">
        <v>2026</v>
      </c>
      <c r="C170" s="78">
        <v>5</v>
      </c>
      <c r="D170" s="268">
        <v>16570640</v>
      </c>
      <c r="E170" s="116">
        <v>22608200</v>
      </c>
      <c r="F170" s="116">
        <v>15009010</v>
      </c>
      <c r="G170" s="301">
        <v>13671040</v>
      </c>
      <c r="H170" s="268">
        <v>13830280</v>
      </c>
      <c r="I170" s="116">
        <v>14361830</v>
      </c>
      <c r="J170" s="116">
        <v>12909090</v>
      </c>
      <c r="K170" s="301">
        <v>12565510</v>
      </c>
    </row>
    <row r="171" spans="2:11" x14ac:dyDescent="0.35">
      <c r="B171" s="25">
        <v>2026</v>
      </c>
      <c r="C171" s="78">
        <v>6</v>
      </c>
      <c r="D171" s="268">
        <v>20007740</v>
      </c>
      <c r="E171" s="116">
        <v>25703650</v>
      </c>
      <c r="F171" s="116">
        <v>18986250</v>
      </c>
      <c r="G171" s="301">
        <v>17521240</v>
      </c>
      <c r="H171" s="268">
        <v>17809810</v>
      </c>
      <c r="I171" s="116">
        <v>18906890</v>
      </c>
      <c r="J171" s="116">
        <v>16386160</v>
      </c>
      <c r="K171" s="301">
        <v>16027640</v>
      </c>
    </row>
    <row r="172" spans="2:11" x14ac:dyDescent="0.35">
      <c r="B172" s="25">
        <v>2026</v>
      </c>
      <c r="C172" s="78">
        <v>7</v>
      </c>
      <c r="D172" s="268">
        <v>25489980</v>
      </c>
      <c r="E172" s="116">
        <v>27978160</v>
      </c>
      <c r="F172" s="116">
        <v>24617410</v>
      </c>
      <c r="G172" s="301">
        <v>22521040</v>
      </c>
      <c r="H172" s="268">
        <v>22940790</v>
      </c>
      <c r="I172" s="116">
        <v>23841460</v>
      </c>
      <c r="J172" s="116">
        <v>21176780</v>
      </c>
      <c r="K172" s="301">
        <v>19962890</v>
      </c>
    </row>
    <row r="173" spans="2:11" x14ac:dyDescent="0.35">
      <c r="B173" s="25">
        <v>2026</v>
      </c>
      <c r="C173" s="78">
        <v>8</v>
      </c>
      <c r="D173" s="268">
        <v>25212140</v>
      </c>
      <c r="E173" s="116">
        <v>27711580</v>
      </c>
      <c r="F173" s="116">
        <v>24451830</v>
      </c>
      <c r="G173" s="301">
        <v>22587040</v>
      </c>
      <c r="H173" s="268">
        <v>23059610</v>
      </c>
      <c r="I173" s="116">
        <v>23703160</v>
      </c>
      <c r="J173" s="116">
        <v>20980500</v>
      </c>
      <c r="K173" s="301">
        <v>20124970</v>
      </c>
    </row>
    <row r="174" spans="2:11" x14ac:dyDescent="0.35">
      <c r="B174" s="25">
        <v>2026</v>
      </c>
      <c r="C174" s="78">
        <v>9</v>
      </c>
      <c r="D174" s="268">
        <v>20341780</v>
      </c>
      <c r="E174" s="116">
        <v>25064480</v>
      </c>
      <c r="F174" s="116">
        <v>19106410</v>
      </c>
      <c r="G174" s="301">
        <v>17160760</v>
      </c>
      <c r="H174" s="268">
        <v>17763250</v>
      </c>
      <c r="I174" s="116">
        <v>18403930</v>
      </c>
      <c r="J174" s="116">
        <v>16117500</v>
      </c>
      <c r="K174" s="301">
        <v>14505850</v>
      </c>
    </row>
    <row r="175" spans="2:11" x14ac:dyDescent="0.35">
      <c r="B175" s="25">
        <v>2026</v>
      </c>
      <c r="C175" s="78">
        <v>10</v>
      </c>
      <c r="D175" s="268">
        <v>22101780</v>
      </c>
      <c r="E175" s="116">
        <v>19854810</v>
      </c>
      <c r="F175" s="116">
        <v>20036110</v>
      </c>
      <c r="G175" s="301">
        <v>18899250</v>
      </c>
      <c r="H175" s="268">
        <v>19190820</v>
      </c>
      <c r="I175" s="116">
        <v>20779660</v>
      </c>
      <c r="J175" s="116">
        <v>17246900</v>
      </c>
      <c r="K175" s="301">
        <v>17112990</v>
      </c>
    </row>
    <row r="176" spans="2:11" x14ac:dyDescent="0.35">
      <c r="B176" s="25">
        <v>2026</v>
      </c>
      <c r="C176" s="78">
        <v>11</v>
      </c>
      <c r="D176" s="268">
        <v>20123820</v>
      </c>
      <c r="E176" s="116">
        <v>25189310</v>
      </c>
      <c r="F176" s="116">
        <v>19028460</v>
      </c>
      <c r="G176" s="301">
        <v>17108540</v>
      </c>
      <c r="H176" s="268">
        <v>18354250</v>
      </c>
      <c r="I176" s="116">
        <v>18914060</v>
      </c>
      <c r="J176" s="116">
        <v>15318500</v>
      </c>
      <c r="K176" s="301">
        <v>15291850</v>
      </c>
    </row>
    <row r="177" spans="2:11" x14ac:dyDescent="0.35">
      <c r="B177" s="25">
        <v>2026</v>
      </c>
      <c r="C177" s="78">
        <v>12</v>
      </c>
      <c r="D177" s="268">
        <v>21442390</v>
      </c>
      <c r="E177" s="116">
        <v>26731020</v>
      </c>
      <c r="F177" s="116">
        <v>20821950</v>
      </c>
      <c r="G177" s="301">
        <v>18848700</v>
      </c>
      <c r="H177" s="268">
        <v>19448670</v>
      </c>
      <c r="I177" s="116">
        <v>19872240</v>
      </c>
      <c r="J177" s="116">
        <v>18484850</v>
      </c>
      <c r="K177" s="301">
        <v>16705770</v>
      </c>
    </row>
    <row r="178" spans="2:11" x14ac:dyDescent="0.35">
      <c r="B178" s="25">
        <v>2027</v>
      </c>
      <c r="C178" s="78">
        <v>1</v>
      </c>
      <c r="D178" s="268">
        <v>25088730</v>
      </c>
      <c r="E178" s="116">
        <v>27799230</v>
      </c>
      <c r="F178" s="116">
        <v>23864380</v>
      </c>
      <c r="G178" s="301">
        <v>21245230</v>
      </c>
      <c r="H178" s="268">
        <v>22205170</v>
      </c>
      <c r="I178" s="116">
        <v>23928500</v>
      </c>
      <c r="J178" s="116">
        <v>19999610</v>
      </c>
      <c r="K178" s="301">
        <v>18813970</v>
      </c>
    </row>
    <row r="179" spans="2:11" x14ac:dyDescent="0.35">
      <c r="B179" s="25">
        <v>2027</v>
      </c>
      <c r="C179" s="78">
        <v>2</v>
      </c>
      <c r="D179" s="268">
        <v>20546720</v>
      </c>
      <c r="E179" s="116">
        <v>23846920</v>
      </c>
      <c r="F179" s="116">
        <v>19173550</v>
      </c>
      <c r="G179" s="301">
        <v>16752130</v>
      </c>
      <c r="H179" s="268">
        <v>17456970</v>
      </c>
      <c r="I179" s="116">
        <v>18856730</v>
      </c>
      <c r="J179" s="116">
        <v>15461630</v>
      </c>
      <c r="K179" s="301">
        <v>14959850</v>
      </c>
    </row>
    <row r="180" spans="2:11" x14ac:dyDescent="0.35">
      <c r="B180" s="25">
        <v>2027</v>
      </c>
      <c r="C180" s="78">
        <v>3</v>
      </c>
      <c r="D180" s="268">
        <v>19841320</v>
      </c>
      <c r="E180" s="116">
        <v>24611970</v>
      </c>
      <c r="F180" s="116">
        <v>18341880</v>
      </c>
      <c r="G180" s="301">
        <v>16720960</v>
      </c>
      <c r="H180" s="268">
        <v>17077850</v>
      </c>
      <c r="I180" s="116">
        <v>18386240</v>
      </c>
      <c r="J180" s="116">
        <v>14774930</v>
      </c>
      <c r="K180" s="301">
        <v>13999800</v>
      </c>
    </row>
    <row r="181" spans="2:11" x14ac:dyDescent="0.35">
      <c r="B181" s="25">
        <v>2027</v>
      </c>
      <c r="C181" s="78">
        <v>4</v>
      </c>
      <c r="D181" s="268">
        <v>16977050</v>
      </c>
      <c r="E181" s="116">
        <v>20095370</v>
      </c>
      <c r="F181" s="116">
        <v>15216070</v>
      </c>
      <c r="G181" s="301">
        <v>14481160</v>
      </c>
      <c r="H181" s="268">
        <v>14505430</v>
      </c>
      <c r="I181" s="116">
        <v>15814790</v>
      </c>
      <c r="J181" s="116">
        <v>13850020</v>
      </c>
      <c r="K181" s="301">
        <v>12886890</v>
      </c>
    </row>
    <row r="182" spans="2:11" x14ac:dyDescent="0.35">
      <c r="B182" s="25">
        <v>2027</v>
      </c>
      <c r="C182" s="78">
        <v>5</v>
      </c>
      <c r="D182" s="268">
        <v>18166710</v>
      </c>
      <c r="E182" s="116">
        <v>18172690</v>
      </c>
      <c r="F182" s="116">
        <v>16762530</v>
      </c>
      <c r="G182" s="301">
        <v>14518660</v>
      </c>
      <c r="H182" s="268">
        <v>14458260</v>
      </c>
      <c r="I182" s="116">
        <v>16007540</v>
      </c>
      <c r="J182" s="116">
        <v>13264860</v>
      </c>
      <c r="K182" s="301">
        <v>12191970</v>
      </c>
    </row>
    <row r="183" spans="2:11" x14ac:dyDescent="0.35">
      <c r="B183" s="25">
        <v>2027</v>
      </c>
      <c r="C183" s="78">
        <v>6</v>
      </c>
      <c r="D183" s="268">
        <v>20329840</v>
      </c>
      <c r="E183" s="116">
        <v>25636750</v>
      </c>
      <c r="F183" s="116">
        <v>19009210</v>
      </c>
      <c r="G183" s="301">
        <v>17098800</v>
      </c>
      <c r="H183" s="268">
        <v>17729910</v>
      </c>
      <c r="I183" s="116">
        <v>18682190</v>
      </c>
      <c r="J183" s="116">
        <v>15987580</v>
      </c>
      <c r="K183" s="301">
        <v>15843200</v>
      </c>
    </row>
    <row r="184" spans="2:11" x14ac:dyDescent="0.35">
      <c r="B184" s="25">
        <v>2027</v>
      </c>
      <c r="C184" s="78">
        <v>7</v>
      </c>
      <c r="D184" s="268">
        <v>25488030</v>
      </c>
      <c r="E184" s="116">
        <v>28030370</v>
      </c>
      <c r="F184" s="116">
        <v>24576560</v>
      </c>
      <c r="G184" s="301">
        <v>22912460</v>
      </c>
      <c r="H184" s="268">
        <v>22853140</v>
      </c>
      <c r="I184" s="116">
        <v>23637460</v>
      </c>
      <c r="J184" s="116">
        <v>20777010</v>
      </c>
      <c r="K184" s="301">
        <v>19147360</v>
      </c>
    </row>
    <row r="185" spans="2:11" x14ac:dyDescent="0.35">
      <c r="B185" s="25">
        <v>2027</v>
      </c>
      <c r="C185" s="78">
        <v>8</v>
      </c>
      <c r="D185" s="268">
        <v>25371620</v>
      </c>
      <c r="E185" s="116">
        <v>27736780</v>
      </c>
      <c r="F185" s="116">
        <v>24521650</v>
      </c>
      <c r="G185" s="301">
        <v>22543910</v>
      </c>
      <c r="H185" s="268">
        <v>22960970</v>
      </c>
      <c r="I185" s="116">
        <v>23617780</v>
      </c>
      <c r="J185" s="116">
        <v>20518110</v>
      </c>
      <c r="K185" s="301">
        <v>19782620</v>
      </c>
    </row>
    <row r="186" spans="2:11" x14ac:dyDescent="0.35">
      <c r="B186" s="25">
        <v>2027</v>
      </c>
      <c r="C186" s="78">
        <v>9</v>
      </c>
      <c r="D186" s="268">
        <v>20522820</v>
      </c>
      <c r="E186" s="116">
        <v>25121260</v>
      </c>
      <c r="F186" s="116">
        <v>19394830</v>
      </c>
      <c r="G186" s="301">
        <v>17587270</v>
      </c>
      <c r="H186" s="268">
        <v>17463770</v>
      </c>
      <c r="I186" s="116">
        <v>18457900</v>
      </c>
      <c r="J186" s="116">
        <v>15699990</v>
      </c>
      <c r="K186" s="301">
        <v>14903540</v>
      </c>
    </row>
    <row r="187" spans="2:11" x14ac:dyDescent="0.35">
      <c r="B187" s="25">
        <v>2027</v>
      </c>
      <c r="C187" s="78">
        <v>10</v>
      </c>
      <c r="D187" s="268">
        <v>20362550</v>
      </c>
      <c r="E187" s="116">
        <v>24173720</v>
      </c>
      <c r="F187" s="116">
        <v>19092000</v>
      </c>
      <c r="G187" s="301">
        <v>17981360</v>
      </c>
      <c r="H187" s="268">
        <v>18092660</v>
      </c>
      <c r="I187" s="116">
        <v>18904360</v>
      </c>
      <c r="J187" s="116">
        <v>15293880</v>
      </c>
      <c r="K187" s="301">
        <v>15465340</v>
      </c>
    </row>
    <row r="188" spans="2:11" x14ac:dyDescent="0.35">
      <c r="B188" s="25">
        <v>2027</v>
      </c>
      <c r="C188" s="78">
        <v>11</v>
      </c>
      <c r="D188" s="268">
        <v>19439790</v>
      </c>
      <c r="E188" s="116">
        <v>23954490</v>
      </c>
      <c r="F188" s="116">
        <v>17807120</v>
      </c>
      <c r="G188" s="301">
        <v>16246040</v>
      </c>
      <c r="H188" s="268">
        <v>16086050</v>
      </c>
      <c r="I188" s="116">
        <v>17057390</v>
      </c>
      <c r="J188" s="116">
        <v>15129550</v>
      </c>
      <c r="K188" s="301">
        <v>14467720</v>
      </c>
    </row>
    <row r="189" spans="2:11" x14ac:dyDescent="0.35">
      <c r="B189" s="25">
        <v>2027</v>
      </c>
      <c r="C189" s="78">
        <v>12</v>
      </c>
      <c r="D189" s="268">
        <v>21606280</v>
      </c>
      <c r="E189" s="116">
        <v>26948570</v>
      </c>
      <c r="F189" s="116">
        <v>20682860</v>
      </c>
      <c r="G189" s="301">
        <v>18439940</v>
      </c>
      <c r="H189" s="268">
        <v>19372210</v>
      </c>
      <c r="I189" s="116">
        <v>19559030</v>
      </c>
      <c r="J189" s="116">
        <v>17156710</v>
      </c>
      <c r="K189" s="301">
        <v>16660630</v>
      </c>
    </row>
    <row r="190" spans="2:11" x14ac:dyDescent="0.35">
      <c r="B190" s="25">
        <v>2028</v>
      </c>
      <c r="C190" s="78">
        <v>1</v>
      </c>
      <c r="D190" s="268">
        <v>26607680</v>
      </c>
      <c r="E190" s="116">
        <v>27218240</v>
      </c>
      <c r="F190" s="116">
        <v>25258400</v>
      </c>
      <c r="G190" s="301">
        <v>23199610</v>
      </c>
      <c r="H190" s="268">
        <v>23745840</v>
      </c>
      <c r="I190" s="116">
        <v>24570810</v>
      </c>
      <c r="J190" s="116">
        <v>20570920</v>
      </c>
      <c r="K190" s="301">
        <v>19915480</v>
      </c>
    </row>
    <row r="191" spans="2:11" x14ac:dyDescent="0.35">
      <c r="B191" s="25">
        <v>2028</v>
      </c>
      <c r="C191" s="78">
        <v>2</v>
      </c>
      <c r="D191" s="268">
        <v>22346040</v>
      </c>
      <c r="E191" s="116">
        <v>23359850</v>
      </c>
      <c r="F191" s="116">
        <v>20982450</v>
      </c>
      <c r="G191" s="301">
        <v>19310530</v>
      </c>
      <c r="H191" s="268">
        <v>19428960</v>
      </c>
      <c r="I191" s="116">
        <v>20503870</v>
      </c>
      <c r="J191" s="116">
        <v>17260210</v>
      </c>
      <c r="K191" s="301">
        <v>16812660</v>
      </c>
    </row>
    <row r="192" spans="2:11" x14ac:dyDescent="0.35">
      <c r="B192" s="25">
        <v>2028</v>
      </c>
      <c r="C192" s="78">
        <v>3</v>
      </c>
      <c r="D192" s="268">
        <v>19910660</v>
      </c>
      <c r="E192" s="116">
        <v>24146960</v>
      </c>
      <c r="F192" s="116">
        <v>18955120</v>
      </c>
      <c r="G192" s="301">
        <v>17608490</v>
      </c>
      <c r="H192" s="268">
        <v>17392780</v>
      </c>
      <c r="I192" s="116">
        <v>18164690</v>
      </c>
      <c r="J192" s="116">
        <v>15899470</v>
      </c>
      <c r="K192" s="301">
        <v>15859540</v>
      </c>
    </row>
    <row r="193" spans="2:11" x14ac:dyDescent="0.35">
      <c r="B193" s="25">
        <v>2028</v>
      </c>
      <c r="C193" s="78">
        <v>4</v>
      </c>
      <c r="D193" s="268">
        <v>21522460</v>
      </c>
      <c r="E193" s="116">
        <v>23093590</v>
      </c>
      <c r="F193" s="116">
        <v>21459240</v>
      </c>
      <c r="G193" s="301">
        <v>19205260</v>
      </c>
      <c r="H193" s="268">
        <v>18721420</v>
      </c>
      <c r="I193" s="116">
        <v>20500680</v>
      </c>
      <c r="J193" s="116">
        <v>16644150</v>
      </c>
      <c r="K193" s="301">
        <v>15929070</v>
      </c>
    </row>
    <row r="194" spans="2:11" x14ac:dyDescent="0.35">
      <c r="B194" s="25">
        <v>2028</v>
      </c>
      <c r="C194" s="78">
        <v>5</v>
      </c>
      <c r="D194" s="268">
        <v>20354930</v>
      </c>
      <c r="E194" s="116">
        <v>23018470</v>
      </c>
      <c r="F194" s="116">
        <v>18665930</v>
      </c>
      <c r="G194" s="301">
        <v>16356650</v>
      </c>
      <c r="H194" s="268">
        <v>17510740</v>
      </c>
      <c r="I194" s="116">
        <v>18980560</v>
      </c>
      <c r="J194" s="116">
        <v>15693240</v>
      </c>
      <c r="K194" s="301">
        <v>14896410</v>
      </c>
    </row>
    <row r="195" spans="2:11" x14ac:dyDescent="0.35">
      <c r="B195" s="25">
        <v>2028</v>
      </c>
      <c r="C195" s="78">
        <v>6</v>
      </c>
      <c r="D195" s="268">
        <v>21220860</v>
      </c>
      <c r="E195" s="116">
        <v>25331310</v>
      </c>
      <c r="F195" s="116">
        <v>19704080</v>
      </c>
      <c r="G195" s="301">
        <v>18756270</v>
      </c>
      <c r="H195" s="268">
        <v>18745580</v>
      </c>
      <c r="I195" s="116">
        <v>19301470</v>
      </c>
      <c r="J195" s="116">
        <v>17055530</v>
      </c>
      <c r="K195" s="301">
        <v>16563230</v>
      </c>
    </row>
    <row r="196" spans="2:11" x14ac:dyDescent="0.35">
      <c r="B196" s="25">
        <v>2028</v>
      </c>
      <c r="C196" s="78">
        <v>7</v>
      </c>
      <c r="D196" s="268">
        <v>27130640</v>
      </c>
      <c r="E196" s="116">
        <v>27867510</v>
      </c>
      <c r="F196" s="116">
        <v>25687760</v>
      </c>
      <c r="G196" s="301">
        <v>23493410</v>
      </c>
      <c r="H196" s="268">
        <v>23339020</v>
      </c>
      <c r="I196" s="116">
        <v>24618020</v>
      </c>
      <c r="J196" s="116">
        <v>21652230</v>
      </c>
      <c r="K196" s="301">
        <v>20758170</v>
      </c>
    </row>
    <row r="197" spans="2:11" x14ac:dyDescent="0.35">
      <c r="B197" s="25">
        <v>2028</v>
      </c>
      <c r="C197" s="78">
        <v>8</v>
      </c>
      <c r="D197" s="268">
        <v>26992320</v>
      </c>
      <c r="E197" s="116">
        <v>27718330</v>
      </c>
      <c r="F197" s="116">
        <v>25940570</v>
      </c>
      <c r="G197" s="301">
        <v>23996090</v>
      </c>
      <c r="H197" s="268">
        <v>23867330</v>
      </c>
      <c r="I197" s="116">
        <v>25040650</v>
      </c>
      <c r="J197" s="116">
        <v>21620260</v>
      </c>
      <c r="K197" s="301">
        <v>20681880</v>
      </c>
    </row>
    <row r="198" spans="2:11" x14ac:dyDescent="0.35">
      <c r="B198" s="25">
        <v>2028</v>
      </c>
      <c r="C198" s="78">
        <v>9</v>
      </c>
      <c r="D198" s="268">
        <v>21395380</v>
      </c>
      <c r="E198" s="116">
        <v>24862150</v>
      </c>
      <c r="F198" s="116">
        <v>20414470</v>
      </c>
      <c r="G198" s="301">
        <v>17988230</v>
      </c>
      <c r="H198" s="268">
        <v>17991660</v>
      </c>
      <c r="I198" s="116">
        <v>18384540</v>
      </c>
      <c r="J198" s="116">
        <v>16739370</v>
      </c>
      <c r="K198" s="301">
        <v>15842600</v>
      </c>
    </row>
    <row r="199" spans="2:11" x14ac:dyDescent="0.35">
      <c r="B199" s="25">
        <v>2028</v>
      </c>
      <c r="C199" s="78">
        <v>10</v>
      </c>
      <c r="D199" s="268">
        <v>19642850</v>
      </c>
      <c r="E199" s="116">
        <v>18429710</v>
      </c>
      <c r="F199" s="116">
        <v>18181840</v>
      </c>
      <c r="G199" s="301">
        <v>16190890</v>
      </c>
      <c r="H199" s="268">
        <v>15911550</v>
      </c>
      <c r="I199" s="116">
        <v>16596420</v>
      </c>
      <c r="J199" s="116">
        <v>15573540</v>
      </c>
      <c r="K199" s="301">
        <v>15016580</v>
      </c>
    </row>
    <row r="200" spans="2:11" x14ac:dyDescent="0.35">
      <c r="B200" s="25">
        <v>2028</v>
      </c>
      <c r="C200" s="78">
        <v>11</v>
      </c>
      <c r="D200" s="268">
        <v>20425600</v>
      </c>
      <c r="E200" s="116">
        <v>23838280</v>
      </c>
      <c r="F200" s="116">
        <v>18564320</v>
      </c>
      <c r="G200" s="301">
        <v>17891300</v>
      </c>
      <c r="H200" s="268">
        <v>16817860</v>
      </c>
      <c r="I200" s="116">
        <v>18269340</v>
      </c>
      <c r="J200" s="116">
        <v>16545970</v>
      </c>
      <c r="K200" s="301">
        <v>15795700</v>
      </c>
    </row>
    <row r="201" spans="2:11" x14ac:dyDescent="0.35">
      <c r="B201" s="25">
        <v>2028</v>
      </c>
      <c r="C201" s="78">
        <v>12</v>
      </c>
      <c r="D201" s="268">
        <v>22417370</v>
      </c>
      <c r="E201" s="116">
        <v>26660820</v>
      </c>
      <c r="F201" s="116">
        <v>22316110</v>
      </c>
      <c r="G201" s="301">
        <v>19395940</v>
      </c>
      <c r="H201" s="268">
        <v>19984660</v>
      </c>
      <c r="I201" s="116">
        <v>21045570</v>
      </c>
      <c r="J201" s="116">
        <v>18761450</v>
      </c>
      <c r="K201" s="301">
        <v>18386030</v>
      </c>
    </row>
    <row r="202" spans="2:11" x14ac:dyDescent="0.35">
      <c r="B202" s="25">
        <v>2029</v>
      </c>
      <c r="C202" s="78">
        <v>1</v>
      </c>
      <c r="D202" s="268">
        <v>27180080</v>
      </c>
      <c r="E202" s="116">
        <v>27386500</v>
      </c>
      <c r="F202" s="116">
        <v>25450870</v>
      </c>
      <c r="G202" s="301">
        <v>23199910</v>
      </c>
      <c r="H202" s="268">
        <v>23945890</v>
      </c>
      <c r="I202" s="116">
        <v>25036190</v>
      </c>
      <c r="J202" s="116">
        <v>20269630</v>
      </c>
      <c r="K202" s="301">
        <v>19995020</v>
      </c>
    </row>
    <row r="203" spans="2:11" x14ac:dyDescent="0.35">
      <c r="B203" s="25">
        <v>2029</v>
      </c>
      <c r="C203" s="78">
        <v>2</v>
      </c>
      <c r="D203" s="268">
        <v>21291860</v>
      </c>
      <c r="E203" s="116">
        <v>23456750</v>
      </c>
      <c r="F203" s="116">
        <v>21018920</v>
      </c>
      <c r="G203" s="301">
        <v>18377100</v>
      </c>
      <c r="H203" s="268">
        <v>18033130</v>
      </c>
      <c r="I203" s="116">
        <v>19135080</v>
      </c>
      <c r="J203" s="116">
        <v>16156800</v>
      </c>
      <c r="K203" s="301">
        <v>15400440</v>
      </c>
    </row>
    <row r="204" spans="2:11" x14ac:dyDescent="0.35">
      <c r="B204" s="25">
        <v>2029</v>
      </c>
      <c r="C204" s="78">
        <v>3</v>
      </c>
      <c r="D204" s="268">
        <v>22214110</v>
      </c>
      <c r="E204" s="116">
        <v>24113140</v>
      </c>
      <c r="F204" s="116">
        <v>20179020</v>
      </c>
      <c r="G204" s="301">
        <v>19118180</v>
      </c>
      <c r="H204" s="268">
        <v>18470910</v>
      </c>
      <c r="I204" s="116">
        <v>18909550</v>
      </c>
      <c r="J204" s="116">
        <v>16098540</v>
      </c>
      <c r="K204" s="301">
        <v>16272320</v>
      </c>
    </row>
    <row r="205" spans="2:11" x14ac:dyDescent="0.35">
      <c r="B205" s="25">
        <v>2029</v>
      </c>
      <c r="C205" s="78">
        <v>4</v>
      </c>
      <c r="D205" s="268">
        <v>20913630</v>
      </c>
      <c r="E205" s="116">
        <v>20303540</v>
      </c>
      <c r="F205" s="116">
        <v>19454520</v>
      </c>
      <c r="G205" s="301">
        <v>18115930</v>
      </c>
      <c r="H205" s="268">
        <v>17160800</v>
      </c>
      <c r="I205" s="116">
        <v>18743930</v>
      </c>
      <c r="J205" s="116">
        <v>15436820</v>
      </c>
      <c r="K205" s="301">
        <v>15333290</v>
      </c>
    </row>
    <row r="206" spans="2:11" x14ac:dyDescent="0.35">
      <c r="B206" s="25">
        <v>2029</v>
      </c>
      <c r="C206" s="78">
        <v>5</v>
      </c>
      <c r="D206" s="268">
        <v>18675360</v>
      </c>
      <c r="E206" s="116">
        <v>18199780</v>
      </c>
      <c r="F206" s="116">
        <v>16773890</v>
      </c>
      <c r="G206" s="301">
        <v>15990590</v>
      </c>
      <c r="H206" s="268">
        <v>15748870</v>
      </c>
      <c r="I206" s="116">
        <v>17365900</v>
      </c>
      <c r="J206" s="116">
        <v>14087030</v>
      </c>
      <c r="K206" s="301">
        <v>13652790</v>
      </c>
    </row>
    <row r="207" spans="2:11" x14ac:dyDescent="0.35">
      <c r="B207" s="25">
        <v>2029</v>
      </c>
      <c r="C207" s="78">
        <v>6</v>
      </c>
      <c r="D207" s="268">
        <v>21471110</v>
      </c>
      <c r="E207" s="116">
        <v>25605690</v>
      </c>
      <c r="F207" s="116">
        <v>19569310</v>
      </c>
      <c r="G207" s="301">
        <v>18864510</v>
      </c>
      <c r="H207" s="268">
        <v>18823080</v>
      </c>
      <c r="I207" s="116">
        <v>19861790</v>
      </c>
      <c r="J207" s="116">
        <v>17184840</v>
      </c>
      <c r="K207" s="301">
        <v>16915800</v>
      </c>
    </row>
    <row r="208" spans="2:11" x14ac:dyDescent="0.35">
      <c r="B208" s="25">
        <v>2029</v>
      </c>
      <c r="C208" s="78">
        <v>7</v>
      </c>
      <c r="D208" s="268">
        <v>27272970</v>
      </c>
      <c r="E208" s="116">
        <v>27809180</v>
      </c>
      <c r="F208" s="116">
        <v>26560000</v>
      </c>
      <c r="G208" s="301">
        <v>24063180</v>
      </c>
      <c r="H208" s="268">
        <v>24041710</v>
      </c>
      <c r="I208" s="116">
        <v>25090400</v>
      </c>
      <c r="J208" s="116">
        <v>21715500</v>
      </c>
      <c r="K208" s="301">
        <v>20677400</v>
      </c>
    </row>
    <row r="209" spans="2:11" x14ac:dyDescent="0.35">
      <c r="B209" s="25">
        <v>2029</v>
      </c>
      <c r="C209" s="78">
        <v>8</v>
      </c>
      <c r="D209" s="268">
        <v>26463160</v>
      </c>
      <c r="E209" s="116">
        <v>27909120</v>
      </c>
      <c r="F209" s="116">
        <v>25820270</v>
      </c>
      <c r="G209" s="301">
        <v>24075330</v>
      </c>
      <c r="H209" s="268">
        <v>23486760</v>
      </c>
      <c r="I209" s="116">
        <v>24809830</v>
      </c>
      <c r="J209" s="116">
        <v>21504410</v>
      </c>
      <c r="K209" s="301">
        <v>21184280</v>
      </c>
    </row>
    <row r="210" spans="2:11" x14ac:dyDescent="0.35">
      <c r="B210" s="25">
        <v>2029</v>
      </c>
      <c r="C210" s="78">
        <v>9</v>
      </c>
      <c r="D210" s="268">
        <v>21667170</v>
      </c>
      <c r="E210" s="116">
        <v>25152540</v>
      </c>
      <c r="F210" s="116">
        <v>20192190</v>
      </c>
      <c r="G210" s="301">
        <v>17954050</v>
      </c>
      <c r="H210" s="268">
        <v>18249700</v>
      </c>
      <c r="I210" s="116">
        <v>19035480</v>
      </c>
      <c r="J210" s="116">
        <v>15970630</v>
      </c>
      <c r="K210" s="301">
        <v>15955300</v>
      </c>
    </row>
    <row r="211" spans="2:11" x14ac:dyDescent="0.35">
      <c r="B211" s="25">
        <v>2029</v>
      </c>
      <c r="C211" s="78">
        <v>10</v>
      </c>
      <c r="D211" s="268">
        <v>22341250</v>
      </c>
      <c r="E211" s="116">
        <v>25318250</v>
      </c>
      <c r="F211" s="116">
        <v>20943860</v>
      </c>
      <c r="G211" s="301">
        <v>18559090</v>
      </c>
      <c r="H211" s="268">
        <v>19309810</v>
      </c>
      <c r="I211" s="116">
        <v>20634480</v>
      </c>
      <c r="J211" s="116">
        <v>17108770</v>
      </c>
      <c r="K211" s="301">
        <v>16496550</v>
      </c>
    </row>
    <row r="212" spans="2:11" x14ac:dyDescent="0.35">
      <c r="B212" s="25">
        <v>2029</v>
      </c>
      <c r="C212" s="78">
        <v>11</v>
      </c>
      <c r="D212" s="268">
        <v>21733600</v>
      </c>
      <c r="E212" s="116">
        <v>24823830</v>
      </c>
      <c r="F212" s="116">
        <v>19909560</v>
      </c>
      <c r="G212" s="301">
        <v>18658050</v>
      </c>
      <c r="H212" s="268">
        <v>18490580</v>
      </c>
      <c r="I212" s="116">
        <v>19974850</v>
      </c>
      <c r="J212" s="116">
        <v>16562060</v>
      </c>
      <c r="K212" s="301">
        <v>16592700</v>
      </c>
    </row>
    <row r="213" spans="2:11" x14ac:dyDescent="0.35">
      <c r="B213" s="25">
        <v>2029</v>
      </c>
      <c r="C213" s="78">
        <v>12</v>
      </c>
      <c r="D213" s="268">
        <v>23216380</v>
      </c>
      <c r="E213" s="116">
        <v>26718110</v>
      </c>
      <c r="F213" s="116">
        <v>21774780</v>
      </c>
      <c r="G213" s="301">
        <v>19875880</v>
      </c>
      <c r="H213" s="268">
        <v>19730310</v>
      </c>
      <c r="I213" s="116">
        <v>20902290</v>
      </c>
      <c r="J213" s="116">
        <v>18850260</v>
      </c>
      <c r="K213" s="301">
        <v>18459050</v>
      </c>
    </row>
    <row r="214" spans="2:11" x14ac:dyDescent="0.35">
      <c r="B214" s="25">
        <v>2030</v>
      </c>
      <c r="C214" s="78">
        <v>1</v>
      </c>
      <c r="D214" s="268">
        <v>26695880</v>
      </c>
      <c r="E214" s="116">
        <v>27326430</v>
      </c>
      <c r="F214" s="116">
        <v>24864440</v>
      </c>
      <c r="G214" s="301">
        <v>22167640</v>
      </c>
      <c r="H214" s="268">
        <v>22945930</v>
      </c>
      <c r="I214" s="116">
        <v>24674060</v>
      </c>
      <c r="J214" s="116">
        <v>20084050</v>
      </c>
      <c r="K214" s="301">
        <v>19364000</v>
      </c>
    </row>
    <row r="215" spans="2:11" x14ac:dyDescent="0.35">
      <c r="B215" s="25">
        <v>2030</v>
      </c>
      <c r="C215" s="78">
        <v>2</v>
      </c>
      <c r="D215" s="268">
        <v>21457220</v>
      </c>
      <c r="E215" s="116">
        <v>23729080</v>
      </c>
      <c r="F215" s="116">
        <v>20122010</v>
      </c>
      <c r="G215" s="301">
        <v>18262600</v>
      </c>
      <c r="H215" s="268">
        <v>17337490</v>
      </c>
      <c r="I215" s="116">
        <v>19280490</v>
      </c>
      <c r="J215" s="116">
        <v>15820250</v>
      </c>
      <c r="K215" s="301">
        <v>15387730</v>
      </c>
    </row>
    <row r="216" spans="2:11" x14ac:dyDescent="0.35">
      <c r="B216" s="25">
        <v>2030</v>
      </c>
      <c r="C216" s="78">
        <v>3</v>
      </c>
      <c r="D216" s="268">
        <v>21067950</v>
      </c>
      <c r="E216" s="116">
        <v>23941350</v>
      </c>
      <c r="F216" s="116">
        <v>18293680</v>
      </c>
      <c r="G216" s="301">
        <v>18719270</v>
      </c>
      <c r="H216" s="268">
        <v>18298640</v>
      </c>
      <c r="I216" s="116">
        <v>19016500</v>
      </c>
      <c r="J216" s="116">
        <v>16667580</v>
      </c>
      <c r="K216" s="301">
        <v>15932850</v>
      </c>
    </row>
    <row r="217" spans="2:11" x14ac:dyDescent="0.35">
      <c r="B217" s="25">
        <v>2030</v>
      </c>
      <c r="C217" s="78">
        <v>4</v>
      </c>
      <c r="D217" s="268">
        <v>18199860</v>
      </c>
      <c r="E217" s="116">
        <v>21348540</v>
      </c>
      <c r="F217" s="116">
        <v>17327540</v>
      </c>
      <c r="G217" s="301">
        <v>16073820</v>
      </c>
      <c r="H217" s="268">
        <v>15715540</v>
      </c>
      <c r="I217" s="116">
        <v>16352330</v>
      </c>
      <c r="J217" s="116">
        <v>13862590</v>
      </c>
      <c r="K217" s="301">
        <v>14133480</v>
      </c>
    </row>
    <row r="218" spans="2:11" x14ac:dyDescent="0.35">
      <c r="B218" s="25">
        <v>2030</v>
      </c>
      <c r="C218" s="78">
        <v>5</v>
      </c>
      <c r="D218" s="268">
        <v>16514660</v>
      </c>
      <c r="E218" s="116">
        <v>22270490</v>
      </c>
      <c r="F218" s="116">
        <v>15495570</v>
      </c>
      <c r="G218" s="301">
        <v>14724430</v>
      </c>
      <c r="H218" s="268">
        <v>14260770</v>
      </c>
      <c r="I218" s="116">
        <v>15218010</v>
      </c>
      <c r="J218" s="116">
        <v>13458280</v>
      </c>
      <c r="K218" s="301">
        <v>13157730</v>
      </c>
    </row>
    <row r="219" spans="2:11" x14ac:dyDescent="0.35">
      <c r="B219" s="25">
        <v>2030</v>
      </c>
      <c r="C219" s="78">
        <v>6</v>
      </c>
      <c r="D219" s="268">
        <v>20845170</v>
      </c>
      <c r="E219" s="116">
        <v>25413450</v>
      </c>
      <c r="F219" s="116">
        <v>19250030</v>
      </c>
      <c r="G219" s="301">
        <v>18530510</v>
      </c>
      <c r="H219" s="268">
        <v>17926370</v>
      </c>
      <c r="I219" s="116">
        <v>19109230</v>
      </c>
      <c r="J219" s="116">
        <v>16065010</v>
      </c>
      <c r="K219" s="301">
        <v>16520560</v>
      </c>
    </row>
    <row r="220" spans="2:11" x14ac:dyDescent="0.35">
      <c r="B220" s="25">
        <v>2030</v>
      </c>
      <c r="C220" s="78">
        <v>7</v>
      </c>
      <c r="D220" s="268">
        <v>27144190</v>
      </c>
      <c r="E220" s="116">
        <v>27772810</v>
      </c>
      <c r="F220" s="116">
        <v>26183820</v>
      </c>
      <c r="G220" s="301">
        <v>24021760</v>
      </c>
      <c r="H220" s="268">
        <v>23443360</v>
      </c>
      <c r="I220" s="116">
        <v>25002690</v>
      </c>
      <c r="J220" s="116">
        <v>20890700</v>
      </c>
      <c r="K220" s="301">
        <v>19954410</v>
      </c>
    </row>
    <row r="221" spans="2:11" x14ac:dyDescent="0.35">
      <c r="B221" s="25">
        <v>2030</v>
      </c>
      <c r="C221" s="78">
        <v>8</v>
      </c>
      <c r="D221" s="268">
        <v>26308640</v>
      </c>
      <c r="E221" s="116">
        <v>27769970</v>
      </c>
      <c r="F221" s="116">
        <v>25156960</v>
      </c>
      <c r="G221" s="301">
        <v>23723240</v>
      </c>
      <c r="H221" s="268">
        <v>23181060</v>
      </c>
      <c r="I221" s="116">
        <v>24356390</v>
      </c>
      <c r="J221" s="116">
        <v>20641030</v>
      </c>
      <c r="K221" s="301">
        <v>20447660</v>
      </c>
    </row>
    <row r="222" spans="2:11" x14ac:dyDescent="0.35">
      <c r="B222" s="25">
        <v>2030</v>
      </c>
      <c r="C222" s="78">
        <v>9</v>
      </c>
      <c r="D222" s="268">
        <v>20420130</v>
      </c>
      <c r="E222" s="116">
        <v>25218980</v>
      </c>
      <c r="F222" s="116">
        <v>19219690</v>
      </c>
      <c r="G222" s="301">
        <v>17347230</v>
      </c>
      <c r="H222" s="268">
        <v>17295040</v>
      </c>
      <c r="I222" s="116">
        <v>18314050</v>
      </c>
      <c r="J222" s="116">
        <v>16328300</v>
      </c>
      <c r="K222" s="301">
        <v>15527350</v>
      </c>
    </row>
    <row r="223" spans="2:11" x14ac:dyDescent="0.35">
      <c r="B223" s="25">
        <v>2030</v>
      </c>
      <c r="C223" s="78">
        <v>10</v>
      </c>
      <c r="D223" s="268">
        <v>20186150</v>
      </c>
      <c r="E223" s="116">
        <v>19195020</v>
      </c>
      <c r="F223" s="116">
        <v>18106600</v>
      </c>
      <c r="G223" s="301">
        <v>17660070</v>
      </c>
      <c r="H223" s="268">
        <v>16607840</v>
      </c>
      <c r="I223" s="116">
        <v>18296350</v>
      </c>
      <c r="J223" s="116">
        <v>15562390</v>
      </c>
      <c r="K223" s="301">
        <v>15635240</v>
      </c>
    </row>
    <row r="224" spans="2:11" x14ac:dyDescent="0.35">
      <c r="B224" s="25">
        <v>2030</v>
      </c>
      <c r="C224" s="78">
        <v>11</v>
      </c>
      <c r="D224" s="268">
        <v>19762610</v>
      </c>
      <c r="E224" s="116">
        <v>23905680</v>
      </c>
      <c r="F224" s="116">
        <v>18194910</v>
      </c>
      <c r="G224" s="301">
        <v>16851820</v>
      </c>
      <c r="H224" s="268">
        <v>17735270</v>
      </c>
      <c r="I224" s="116">
        <v>18062670</v>
      </c>
      <c r="J224" s="116">
        <v>15758490</v>
      </c>
      <c r="K224" s="301">
        <v>15978930</v>
      </c>
    </row>
    <row r="225" spans="2:11" x14ac:dyDescent="0.35">
      <c r="B225" s="26">
        <v>2030</v>
      </c>
      <c r="C225" s="128">
        <v>12</v>
      </c>
      <c r="D225" s="269">
        <v>22358060</v>
      </c>
      <c r="E225" s="270">
        <v>26608120</v>
      </c>
      <c r="F225" s="270">
        <v>21485040</v>
      </c>
      <c r="G225" s="302">
        <v>19758090</v>
      </c>
      <c r="H225" s="269">
        <v>19639260</v>
      </c>
      <c r="I225" s="270">
        <v>21031360</v>
      </c>
      <c r="J225" s="270">
        <v>18664150</v>
      </c>
      <c r="K225" s="302">
        <v>18478670</v>
      </c>
    </row>
  </sheetData>
  <mergeCells count="8">
    <mergeCell ref="R13:T13"/>
    <mergeCell ref="U13:W13"/>
    <mergeCell ref="X13:Z13"/>
    <mergeCell ref="C13:E13"/>
    <mergeCell ref="F13:H13"/>
    <mergeCell ref="I13:K13"/>
    <mergeCell ref="L13:N13"/>
    <mergeCell ref="O13:Q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B2:AA64"/>
  <sheetViews>
    <sheetView showGridLines="0" zoomScale="70" zoomScaleNormal="70" zoomScaleSheetLayoutView="100" workbookViewId="0">
      <pane ySplit="4" topLeftCell="A14" activePane="bottomLeft" state="frozen"/>
      <selection activeCell="G24" sqref="G24"/>
      <selection pane="bottomLeft" activeCell="X23" sqref="X23"/>
    </sheetView>
  </sheetViews>
  <sheetFormatPr defaultRowHeight="17.25" x14ac:dyDescent="0.35"/>
  <cols>
    <col min="1" max="1" width="2.375" customWidth="1"/>
    <col min="2" max="18" width="13.375" customWidth="1"/>
    <col min="19" max="19" width="11.25" customWidth="1"/>
    <col min="20" max="23" width="10.125" customWidth="1"/>
    <col min="26" max="26" width="10.625" bestFit="1" customWidth="1"/>
    <col min="27" max="27" width="10.25" customWidth="1"/>
    <col min="28" max="28" width="10.625" customWidth="1"/>
  </cols>
  <sheetData>
    <row r="2" spans="2:27" ht="30.75" x14ac:dyDescent="0.6">
      <c r="B2" s="1" t="s">
        <v>265</v>
      </c>
      <c r="R2" s="362" t="str">
        <f>IF(SUM($P$8:$P$23)&lt;&gt;0,"This scenario requires a pipeline.","This scenario does not require a pipeline.")</f>
        <v>This scenario requires a pipeline.</v>
      </c>
      <c r="Y2" s="195"/>
      <c r="Z2" s="193">
        <v>5.6000000000000001E-2</v>
      </c>
      <c r="AA2" s="194" t="e">
        <f>Z2/Y2</f>
        <v>#DIV/0!</v>
      </c>
    </row>
    <row r="3" spans="2:27" x14ac:dyDescent="0.35">
      <c r="M3" s="76"/>
    </row>
    <row r="4" spans="2:27" ht="21.75" x14ac:dyDescent="0.45">
      <c r="B4" s="432" t="s">
        <v>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</row>
    <row r="5" spans="2:27" ht="18" thickBot="1" x14ac:dyDescent="0.4">
      <c r="B5" s="2"/>
      <c r="C5" s="75"/>
      <c r="D5" s="184"/>
      <c r="E5" s="184"/>
      <c r="F5" s="184"/>
      <c r="G5" s="184"/>
      <c r="H5" s="184"/>
      <c r="I5" s="184"/>
      <c r="J5" s="184"/>
      <c r="K5" s="184"/>
      <c r="L5" s="184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7" ht="19.5" customHeight="1" x14ac:dyDescent="0.4">
      <c r="B6" s="458" t="s">
        <v>548</v>
      </c>
      <c r="C6" s="446" t="s">
        <v>435</v>
      </c>
      <c r="D6" s="447"/>
      <c r="E6" s="447"/>
      <c r="F6" s="446" t="s">
        <v>550</v>
      </c>
      <c r="G6" s="451"/>
      <c r="H6" s="446" t="s">
        <v>436</v>
      </c>
      <c r="I6" s="447"/>
      <c r="J6" s="446" t="s">
        <v>551</v>
      </c>
      <c r="K6" s="451"/>
      <c r="L6" s="446" t="s">
        <v>557</v>
      </c>
      <c r="M6" s="447"/>
      <c r="N6" s="447"/>
      <c r="O6" s="447"/>
      <c r="P6" s="451"/>
      <c r="Q6" s="462" t="s">
        <v>553</v>
      </c>
      <c r="R6" s="463"/>
    </row>
    <row r="7" spans="2:27" ht="52.5" thickBot="1" x14ac:dyDescent="0.4">
      <c r="B7" s="459"/>
      <c r="C7" s="15" t="s">
        <v>456</v>
      </c>
      <c r="D7" s="16" t="s">
        <v>425</v>
      </c>
      <c r="E7" s="16" t="s">
        <v>20</v>
      </c>
      <c r="F7" s="15" t="s">
        <v>2</v>
      </c>
      <c r="G7" s="16" t="s">
        <v>538</v>
      </c>
      <c r="H7" s="15" t="s">
        <v>457</v>
      </c>
      <c r="I7" s="16" t="s">
        <v>409</v>
      </c>
      <c r="J7" s="15" t="s">
        <v>552</v>
      </c>
      <c r="K7" s="16" t="s">
        <v>267</v>
      </c>
      <c r="L7" s="15" t="s">
        <v>539</v>
      </c>
      <c r="M7" s="16" t="s">
        <v>453</v>
      </c>
      <c r="N7" s="16" t="s">
        <v>107</v>
      </c>
      <c r="O7" s="16" t="s">
        <v>106</v>
      </c>
      <c r="P7" s="17" t="s">
        <v>328</v>
      </c>
      <c r="Q7" s="15" t="s">
        <v>457</v>
      </c>
      <c r="R7" s="240" t="s">
        <v>409</v>
      </c>
      <c r="S7" s="275" t="s">
        <v>556</v>
      </c>
      <c r="T7" s="275" t="s">
        <v>455</v>
      </c>
      <c r="U7" s="275" t="s">
        <v>437</v>
      </c>
      <c r="V7" s="275"/>
      <c r="W7" s="161"/>
      <c r="X7" s="162"/>
      <c r="Z7" s="196"/>
    </row>
    <row r="8" spans="2:27" x14ac:dyDescent="0.35">
      <c r="B8" s="9">
        <v>2015</v>
      </c>
      <c r="C8" s="5">
        <f>RefTables!D23+RefTables!$F$49*RefTables!$F$57/1000</f>
        <v>157.12752906068812</v>
      </c>
      <c r="D8" s="110">
        <f>-Inputs_SupplyCurve!AL9/1000</f>
        <v>-8.0169925080334483</v>
      </c>
      <c r="E8" s="110">
        <f>-(Inputs_SupplyCurve!AM9+Inputs_SupplyCurve!AN9)/1000-RefTables!D284</f>
        <v>-7.1691640119538391</v>
      </c>
      <c r="F8" s="5">
        <f>RefTables!F79/1000</f>
        <v>85.720249999999993</v>
      </c>
      <c r="G8" s="3">
        <f>RefTables!$F$127/1000</f>
        <v>36.795041666666663</v>
      </c>
      <c r="H8" s="237">
        <f t="shared" ref="H8:H23" si="0">SUM(F8:G8)-SUM(C8:E8)</f>
        <v>-19.426080874034199</v>
      </c>
      <c r="I8" s="262">
        <f t="shared" ref="I8:I23" si="1">SUM(C8:E8)/SUM(F8:G8)</f>
        <v>1.158560458941629</v>
      </c>
      <c r="J8" s="342">
        <f>MAX(-H8,0)</f>
        <v>19.426080874034199</v>
      </c>
      <c r="K8" s="110">
        <f>Inputs_JanElectric!C16</f>
        <v>14.10284</v>
      </c>
      <c r="L8" s="5">
        <f>RefTables!$F$126/1000</f>
        <v>18.940624999999997</v>
      </c>
      <c r="M8" s="3">
        <f>RefTables!$F$125/1000</f>
        <v>12.191666666666666</v>
      </c>
      <c r="N8" s="325">
        <f>BalancingMeasures!$N$10*T8</f>
        <v>0.1444</v>
      </c>
      <c r="O8" s="4">
        <f>BalancingMeasures!$N$9*U8</f>
        <v>4.0170000000000003</v>
      </c>
      <c r="P8" s="6"/>
      <c r="Q8" s="241">
        <f t="shared" ref="Q8:Q23" si="2">SUM(L8:P8)-SUM(J8:K8)</f>
        <v>1.7647707926324685</v>
      </c>
      <c r="R8" s="242">
        <f t="shared" ref="R8:R23" si="3">SUM(J8:K8)/SUM(L8:P8)</f>
        <v>0.94999755737371006</v>
      </c>
      <c r="S8" s="107"/>
      <c r="T8" s="107">
        <v>190</v>
      </c>
      <c r="U8" s="107">
        <v>4017</v>
      </c>
      <c r="V8" s="107"/>
      <c r="W8" s="158"/>
      <c r="X8" s="253"/>
      <c r="Y8" s="158"/>
      <c r="Z8" s="197"/>
    </row>
    <row r="9" spans="2:27" x14ac:dyDescent="0.35">
      <c r="B9" s="10">
        <v>2016</v>
      </c>
      <c r="C9" s="7">
        <f>RefTables!D24+RefTables!$F$49*RefTables!$F$57/1000</f>
        <v>159.85216975606758</v>
      </c>
      <c r="D9" s="111">
        <f>-Inputs_SupplyCurve!AL10/1000</f>
        <v>-9.290948102024835</v>
      </c>
      <c r="E9" s="111">
        <f>-(Inputs_SupplyCurve!AM10+Inputs_SupplyCurve!AN10)/1000-RefTables!D285</f>
        <v>-8.1933302993758161</v>
      </c>
      <c r="F9" s="7">
        <f>RefTables!$F$80/1000</f>
        <v>99.970249999999993</v>
      </c>
      <c r="G9" s="4">
        <f>RefTables!$F$127/1000</f>
        <v>36.795041666666663</v>
      </c>
      <c r="H9" s="238">
        <f t="shared" si="0"/>
        <v>-5.6025996880002822</v>
      </c>
      <c r="I9" s="263">
        <f t="shared" si="1"/>
        <v>1.040965069570833</v>
      </c>
      <c r="J9" s="343">
        <f t="shared" ref="J9:J23" si="4">MAX(-H9,0)</f>
        <v>5.6025996880002822</v>
      </c>
      <c r="K9" s="111">
        <f>Inputs_JanElectric!C17</f>
        <v>14.10284</v>
      </c>
      <c r="L9" s="7">
        <f>RefTables!$F$126/1000</f>
        <v>18.940624999999997</v>
      </c>
      <c r="M9" s="4">
        <f>RefTables!$F$125/1000</f>
        <v>12.191666666666666</v>
      </c>
      <c r="N9" s="325"/>
      <c r="O9" s="4"/>
      <c r="P9" s="8"/>
      <c r="Q9" s="238">
        <f t="shared" si="2"/>
        <v>11.426851978666381</v>
      </c>
      <c r="R9" s="243">
        <f t="shared" si="3"/>
        <v>0.63295821261686602</v>
      </c>
      <c r="S9" s="107"/>
      <c r="T9" s="107"/>
      <c r="U9" s="107"/>
      <c r="V9" s="107"/>
      <c r="W9" s="158"/>
      <c r="X9" s="253"/>
      <c r="Y9" s="158"/>
      <c r="Z9" s="197"/>
    </row>
    <row r="10" spans="2:27" x14ac:dyDescent="0.35">
      <c r="B10" s="10">
        <v>2017</v>
      </c>
      <c r="C10" s="7">
        <f>RefTables!D25+RefTables!$F$49*RefTables!$F$57/1000</f>
        <v>162.43792427380353</v>
      </c>
      <c r="D10" s="111">
        <f>-Inputs_SupplyCurve!AL11/1000</f>
        <v>-10.647280190906416</v>
      </c>
      <c r="E10" s="111">
        <f>-(Inputs_SupplyCurve!AM11+Inputs_SupplyCurve!AN11)/1000-RefTables!D286</f>
        <v>-9.2174965867977932</v>
      </c>
      <c r="F10" s="7">
        <f>RefTables!$F$80/1000</f>
        <v>99.970249999999993</v>
      </c>
      <c r="G10" s="4">
        <f>RefTables!$F$127/1000</f>
        <v>36.795041666666663</v>
      </c>
      <c r="H10" s="238">
        <f t="shared" si="0"/>
        <v>-5.8078558294326399</v>
      </c>
      <c r="I10" s="263">
        <f t="shared" si="1"/>
        <v>1.042465860735982</v>
      </c>
      <c r="J10" s="343">
        <f t="shared" si="4"/>
        <v>5.8078558294326399</v>
      </c>
      <c r="K10" s="111">
        <f>Inputs_JanElectric!C18</f>
        <v>12.459070000000001</v>
      </c>
      <c r="L10" s="7">
        <f>RefTables!$F$126/1000</f>
        <v>18.940624999999997</v>
      </c>
      <c r="M10" s="4">
        <f>RefTables!$F$125/1000</f>
        <v>12.191666666666666</v>
      </c>
      <c r="N10" s="325"/>
      <c r="O10" s="4"/>
      <c r="P10" s="8"/>
      <c r="Q10" s="238">
        <f t="shared" si="2"/>
        <v>12.865365837234023</v>
      </c>
      <c r="R10" s="277">
        <f t="shared" si="3"/>
        <v>0.58675172470489967</v>
      </c>
      <c r="S10" s="107"/>
      <c r="T10" s="107"/>
      <c r="U10" s="107"/>
      <c r="V10" s="107"/>
      <c r="W10" s="158"/>
      <c r="X10" s="253"/>
      <c r="Y10" s="158"/>
      <c r="Z10" s="197"/>
    </row>
    <row r="11" spans="2:27" x14ac:dyDescent="0.35">
      <c r="B11" s="10">
        <v>2018</v>
      </c>
      <c r="C11" s="7">
        <f>RefTables!D26+RefTables!$F$49*RefTables!$F$57/1000</f>
        <v>165.218866784326</v>
      </c>
      <c r="D11" s="111">
        <f>-Inputs_SupplyCurve!AL12/1000</f>
        <v>-11.786379196509024</v>
      </c>
      <c r="E11" s="111">
        <f>-(Inputs_SupplyCurve!AM12+Inputs_SupplyCurve!AN12)/1000-RefTables!D287</f>
        <v>-10.24166287421977</v>
      </c>
      <c r="F11" s="7">
        <f>RefTables!$F$80/1000</f>
        <v>99.970249999999993</v>
      </c>
      <c r="G11" s="4">
        <f>RefTables!$F$127/1000</f>
        <v>36.795041666666663</v>
      </c>
      <c r="H11" s="238">
        <f t="shared" si="0"/>
        <v>-6.4255330469305534</v>
      </c>
      <c r="I11" s="263">
        <f t="shared" si="1"/>
        <v>1.0469821909391404</v>
      </c>
      <c r="J11" s="343">
        <f t="shared" si="4"/>
        <v>6.4255330469305534</v>
      </c>
      <c r="K11" s="111">
        <f>Inputs_JanElectric!C19</f>
        <v>23.138960000000001</v>
      </c>
      <c r="L11" s="7">
        <f>RefTables!$F$126/1000</f>
        <v>18.940624999999997</v>
      </c>
      <c r="M11" s="4">
        <f>RefTables!$F$125/1000</f>
        <v>12.191666666666666</v>
      </c>
      <c r="N11" s="325"/>
      <c r="O11" s="4"/>
      <c r="P11" s="8"/>
      <c r="Q11" s="238">
        <f t="shared" si="2"/>
        <v>1.5677986197361093</v>
      </c>
      <c r="R11" s="277">
        <f t="shared" si="3"/>
        <v>0.9496407576890733</v>
      </c>
      <c r="S11" s="107"/>
      <c r="T11" s="107"/>
      <c r="U11" s="107"/>
      <c r="V11" s="107"/>
      <c r="W11" s="158"/>
      <c r="X11" s="253"/>
      <c r="Y11" s="158"/>
      <c r="Z11" s="197"/>
    </row>
    <row r="12" spans="2:27" x14ac:dyDescent="0.35">
      <c r="B12" s="10">
        <v>2019</v>
      </c>
      <c r="C12" s="7">
        <f>RefTables!D27+RefTables!$F$49*RefTables!$F$57/1000</f>
        <v>167.74355386487682</v>
      </c>
      <c r="D12" s="111">
        <f>-Inputs_SupplyCurve!AL13/1000</f>
        <v>-12.838816405823042</v>
      </c>
      <c r="E12" s="111">
        <f>-(Inputs_SupplyCurve!AM13+Inputs_SupplyCurve!AN13)/1000-RefTables!D288</f>
        <v>-11.265829161641747</v>
      </c>
      <c r="F12" s="7">
        <f>RefTables!$F$80/1000</f>
        <v>99.970249999999993</v>
      </c>
      <c r="G12" s="4">
        <f>RefTables!$F$127/1000</f>
        <v>36.795041666666663</v>
      </c>
      <c r="H12" s="238">
        <f t="shared" si="0"/>
        <v>-6.8736166307453459</v>
      </c>
      <c r="I12" s="263">
        <f t="shared" si="1"/>
        <v>1.0502584869814644</v>
      </c>
      <c r="J12" s="343">
        <f t="shared" si="4"/>
        <v>6.8736166307453459</v>
      </c>
      <c r="K12" s="111">
        <f>Inputs_JanElectric!C20</f>
        <v>19.635619999999999</v>
      </c>
      <c r="L12" s="7">
        <f>RefTables!$F$126/1000</f>
        <v>18.940624999999997</v>
      </c>
      <c r="M12" s="4">
        <f>RefTables!$F$125/1000</f>
        <v>12.191666666666666</v>
      </c>
      <c r="N12" s="325"/>
      <c r="O12" s="4"/>
      <c r="P12" s="8"/>
      <c r="Q12" s="238">
        <f t="shared" si="2"/>
        <v>4.6230550359213183</v>
      </c>
      <c r="R12" s="243">
        <f t="shared" si="3"/>
        <v>0.85150289977299609</v>
      </c>
      <c r="S12" s="107"/>
      <c r="T12" s="107"/>
      <c r="U12" s="107"/>
      <c r="V12" s="107"/>
      <c r="W12" s="158"/>
      <c r="X12" s="253"/>
      <c r="Y12" s="160"/>
      <c r="Z12" s="158"/>
    </row>
    <row r="13" spans="2:27" x14ac:dyDescent="0.35">
      <c r="B13" s="10">
        <v>2020</v>
      </c>
      <c r="C13" s="7">
        <f>RefTables!D28+RefTables!$F$49*RefTables!$F$57/1000</f>
        <v>168.56469967420119</v>
      </c>
      <c r="D13" s="111">
        <f>-Inputs_SupplyCurve!AL14/1000</f>
        <v>-13.935429756935545</v>
      </c>
      <c r="E13" s="111">
        <f>-(Inputs_SupplyCurve!AM14+Inputs_SupplyCurve!AN14)/1000-RefTables!D289</f>
        <v>-12.289995449063724</v>
      </c>
      <c r="F13" s="7">
        <f>RefTables!$F$80/1000</f>
        <v>99.970249999999993</v>
      </c>
      <c r="G13" s="4">
        <f>RefTables!$F$127/1000</f>
        <v>36.795041666666663</v>
      </c>
      <c r="H13" s="238">
        <f t="shared" si="0"/>
        <v>-5.5739828015352657</v>
      </c>
      <c r="I13" s="263">
        <f t="shared" si="1"/>
        <v>1.040755828716547</v>
      </c>
      <c r="J13" s="343">
        <f t="shared" si="4"/>
        <v>5.5739828015352657</v>
      </c>
      <c r="K13" s="111">
        <f>Inputs_JanElectric!C21</f>
        <v>53.835350000000005</v>
      </c>
      <c r="L13" s="7">
        <f>RefTables!$F$126/1000</f>
        <v>18.940624999999997</v>
      </c>
      <c r="M13" s="4">
        <f>RefTables!$F$125/1000</f>
        <v>12.191666666666666</v>
      </c>
      <c r="N13" s="4"/>
      <c r="O13" s="4"/>
      <c r="P13" s="8">
        <f>BalancingMeasures!$N$15*$S13</f>
        <v>33.333333333333329</v>
      </c>
      <c r="Q13" s="238">
        <f t="shared" si="2"/>
        <v>5.0562921984647176</v>
      </c>
      <c r="R13" s="243">
        <f t="shared" si="3"/>
        <v>0.92156607186442818</v>
      </c>
      <c r="S13" s="107">
        <v>8</v>
      </c>
      <c r="T13" s="107"/>
      <c r="U13" s="107"/>
      <c r="V13" s="107"/>
      <c r="W13" s="158"/>
      <c r="X13" s="253"/>
      <c r="Y13" s="158"/>
      <c r="Z13" s="158"/>
    </row>
    <row r="14" spans="2:27" x14ac:dyDescent="0.35">
      <c r="B14" s="10">
        <v>2021</v>
      </c>
      <c r="C14" s="7">
        <f>RefTables!D29+RefTables!$F$49*RefTables!$F$57/1000</f>
        <v>169.38995121257219</v>
      </c>
      <c r="D14" s="111">
        <f>-Inputs_SupplyCurve!AL15/1000</f>
        <v>-14.70590746225548</v>
      </c>
      <c r="E14" s="111">
        <f>-(Inputs_SupplyCurve!AM15+Inputs_SupplyCurve!AN15)/1000-RefTables!D290</f>
        <v>-13.127680341605966</v>
      </c>
      <c r="F14" s="7">
        <f>RefTables!$F$80/1000</f>
        <v>99.970249999999993</v>
      </c>
      <c r="G14" s="4">
        <f>RefTables!$F$127/1000</f>
        <v>36.795041666666663</v>
      </c>
      <c r="H14" s="238">
        <f t="shared" si="0"/>
        <v>-4.791071742044096</v>
      </c>
      <c r="I14" s="263">
        <f t="shared" si="1"/>
        <v>1.0350313422627813</v>
      </c>
      <c r="J14" s="343">
        <f t="shared" si="4"/>
        <v>4.791071742044096</v>
      </c>
      <c r="K14" s="111">
        <f>Inputs_JanElectric!C22</f>
        <v>51.71199</v>
      </c>
      <c r="L14" s="7">
        <f>RefTables!$F$126/1000</f>
        <v>18.940624999999997</v>
      </c>
      <c r="M14" s="4">
        <f>RefTables!$F$125/1000</f>
        <v>12.191666666666666</v>
      </c>
      <c r="N14" s="4"/>
      <c r="O14" s="4"/>
      <c r="P14" s="8">
        <f>BalancingMeasures!$N$15*$S14</f>
        <v>33.333333333333329</v>
      </c>
      <c r="Q14" s="238">
        <f t="shared" si="2"/>
        <v>7.9625632579558925</v>
      </c>
      <c r="R14" s="243">
        <f t="shared" si="3"/>
        <v>0.87648357930360721</v>
      </c>
      <c r="S14" s="107">
        <v>8</v>
      </c>
      <c r="T14" s="107"/>
      <c r="U14" s="107"/>
      <c r="V14" s="107"/>
      <c r="W14" s="158"/>
      <c r="X14" s="253"/>
      <c r="Y14" s="158"/>
      <c r="Z14" s="158"/>
    </row>
    <row r="15" spans="2:27" x14ac:dyDescent="0.35">
      <c r="B15" s="10">
        <v>2022</v>
      </c>
      <c r="C15" s="7">
        <f>RefTables!D30+RefTables!$F$49*RefTables!$F$57/1000</f>
        <v>170.21932900863504</v>
      </c>
      <c r="D15" s="111">
        <f>-Inputs_SupplyCurve!AL16/1000</f>
        <v>-15.475632297536823</v>
      </c>
      <c r="E15" s="111">
        <f>-(Inputs_SupplyCurve!AM16+Inputs_SupplyCurve!AN16)/1000-RefTables!D291</f>
        <v>-13.965365234148209</v>
      </c>
      <c r="F15" s="7">
        <f>RefTables!$F$80/1000</f>
        <v>99.970249999999993</v>
      </c>
      <c r="G15" s="4">
        <f>RefTables!$F$127/1000</f>
        <v>36.795041666666663</v>
      </c>
      <c r="H15" s="238">
        <f t="shared" si="0"/>
        <v>-4.0130398102833453</v>
      </c>
      <c r="I15" s="263">
        <f t="shared" si="1"/>
        <v>1.0293425309987581</v>
      </c>
      <c r="J15" s="343">
        <f t="shared" si="4"/>
        <v>4.0130398102833453</v>
      </c>
      <c r="K15" s="111">
        <f>Inputs_JanElectric!C23</f>
        <v>52.166459999999994</v>
      </c>
      <c r="L15" s="7">
        <f>RefTables!$F$126/1000</f>
        <v>18.940624999999997</v>
      </c>
      <c r="M15" s="4">
        <f>RefTables!$F$125/1000</f>
        <v>12.191666666666666</v>
      </c>
      <c r="N15" s="4"/>
      <c r="O15" s="4"/>
      <c r="P15" s="8">
        <f>BalancingMeasures!$N$15*$S15</f>
        <v>33.333333333333329</v>
      </c>
      <c r="Q15" s="238">
        <f t="shared" si="2"/>
        <v>8.2861251897166497</v>
      </c>
      <c r="R15" s="243">
        <f t="shared" si="3"/>
        <v>0.87146444031657722</v>
      </c>
      <c r="S15" s="107">
        <v>8</v>
      </c>
      <c r="T15" s="107"/>
      <c r="U15" s="107"/>
      <c r="V15" s="107"/>
      <c r="W15" s="158"/>
      <c r="X15" s="253"/>
      <c r="Y15" s="158"/>
      <c r="Z15" s="158"/>
    </row>
    <row r="16" spans="2:27" x14ac:dyDescent="0.35">
      <c r="B16" s="10">
        <v>2023</v>
      </c>
      <c r="C16" s="7">
        <f>RefTables!D31+RefTables!$F$49*RefTables!$F$57/1000</f>
        <v>171.0528536936782</v>
      </c>
      <c r="D16" s="111">
        <f>-Inputs_SupplyCurve!AL17/1000</f>
        <v>-15.832642145807547</v>
      </c>
      <c r="E16" s="111">
        <f>-(Inputs_SupplyCurve!AM17+Inputs_SupplyCurve!AN17)/1000-RefTables!D292</f>
        <v>-14.803050126690451</v>
      </c>
      <c r="F16" s="7">
        <f>RefTables!$F$80/1000</f>
        <v>99.970249999999993</v>
      </c>
      <c r="G16" s="4">
        <f>RefTables!$F$127/1000</f>
        <v>36.795041666666663</v>
      </c>
      <c r="H16" s="238">
        <f t="shared" si="0"/>
        <v>-3.651869754513541</v>
      </c>
      <c r="I16" s="263">
        <f t="shared" si="1"/>
        <v>1.026701728998715</v>
      </c>
      <c r="J16" s="343">
        <f t="shared" si="4"/>
        <v>3.651869754513541</v>
      </c>
      <c r="K16" s="111">
        <f>Inputs_JanElectric!C24</f>
        <v>52.904009999999992</v>
      </c>
      <c r="L16" s="7">
        <f>RefTables!$F$126/1000</f>
        <v>18.940624999999997</v>
      </c>
      <c r="M16" s="4">
        <f>RefTables!$F$125/1000</f>
        <v>12.191666666666666</v>
      </c>
      <c r="N16" s="4"/>
      <c r="O16" s="4"/>
      <c r="P16" s="8">
        <f>BalancingMeasures!$N$15*$S16</f>
        <v>33.333333333333329</v>
      </c>
      <c r="Q16" s="238">
        <f t="shared" si="2"/>
        <v>7.9097452454864552</v>
      </c>
      <c r="R16" s="243">
        <f t="shared" si="3"/>
        <v>0.87730289987126542</v>
      </c>
      <c r="S16" s="107">
        <v>8</v>
      </c>
      <c r="T16" s="107"/>
      <c r="U16" s="107"/>
      <c r="V16" s="107"/>
      <c r="W16" s="158"/>
      <c r="X16" s="253"/>
      <c r="Y16" s="158"/>
      <c r="Z16" s="158"/>
    </row>
    <row r="17" spans="2:26" x14ac:dyDescent="0.35">
      <c r="B17" s="10">
        <v>2024</v>
      </c>
      <c r="C17" s="7">
        <f>RefTables!D32+RefTables!$F$49*RefTables!$F$57/1000</f>
        <v>171.89054600214658</v>
      </c>
      <c r="D17" s="111">
        <f>-Inputs_SupplyCurve!AL18/1000</f>
        <v>-16.298804130984372</v>
      </c>
      <c r="E17" s="111">
        <f>-(Inputs_SupplyCurve!AM18+Inputs_SupplyCurve!AN18)/1000-RefTables!D293</f>
        <v>-15.640735019232693</v>
      </c>
      <c r="F17" s="7">
        <f>RefTables!$F$80/1000</f>
        <v>99.970249999999993</v>
      </c>
      <c r="G17" s="4">
        <f>RefTables!$F$127/1000</f>
        <v>36.795041666666663</v>
      </c>
      <c r="H17" s="238">
        <f t="shared" si="0"/>
        <v>-3.1857151852628647</v>
      </c>
      <c r="I17" s="263">
        <f t="shared" si="1"/>
        <v>1.0232933015858094</v>
      </c>
      <c r="J17" s="343">
        <f t="shared" si="4"/>
        <v>3.1857151852628647</v>
      </c>
      <c r="K17" s="111">
        <f>Inputs_JanElectric!C25</f>
        <v>55.142089999999996</v>
      </c>
      <c r="L17" s="7">
        <f>RefTables!$F$126/1000</f>
        <v>18.940624999999997</v>
      </c>
      <c r="M17" s="4">
        <f>RefTables!$F$125/1000</f>
        <v>12.191666666666666</v>
      </c>
      <c r="N17" s="4"/>
      <c r="O17" s="4"/>
      <c r="P17" s="8">
        <f>BalancingMeasures!$N$15*$S17</f>
        <v>33.333333333333329</v>
      </c>
      <c r="Q17" s="238">
        <f t="shared" si="2"/>
        <v>6.1378198147371279</v>
      </c>
      <c r="R17" s="243">
        <f t="shared" si="3"/>
        <v>0.90478926071472776</v>
      </c>
      <c r="S17" s="107">
        <v>8</v>
      </c>
      <c r="T17" s="107"/>
      <c r="U17" s="107"/>
      <c r="V17" s="107"/>
      <c r="W17" s="158"/>
      <c r="X17" s="253"/>
      <c r="Y17" s="158"/>
      <c r="Z17" s="158"/>
    </row>
    <row r="18" spans="2:26" x14ac:dyDescent="0.35">
      <c r="B18" s="10">
        <v>2025</v>
      </c>
      <c r="C18" s="7">
        <f>RefTables!D33+RefTables!$F$49*RefTables!$F$57/1000</f>
        <v>172.73242677215728</v>
      </c>
      <c r="D18" s="111">
        <f>-Inputs_SupplyCurve!AL19/1000</f>
        <v>-16.703852344055448</v>
      </c>
      <c r="E18" s="111">
        <f>-(Inputs_SupplyCurve!AM19+Inputs_SupplyCurve!AN19)/1000-RefTables!D294</f>
        <v>-16.478419911774935</v>
      </c>
      <c r="F18" s="7">
        <f>RefTables!$F$80/1000</f>
        <v>99.970249999999993</v>
      </c>
      <c r="G18" s="4">
        <f>RefTables!$F$127/1000</f>
        <v>36.795041666666663</v>
      </c>
      <c r="H18" s="238">
        <f t="shared" si="0"/>
        <v>-2.7848628496602146</v>
      </c>
      <c r="I18" s="263">
        <f t="shared" si="1"/>
        <v>1.0203623508254394</v>
      </c>
      <c r="J18" s="343">
        <f t="shared" si="4"/>
        <v>2.7848628496602146</v>
      </c>
      <c r="K18" s="111">
        <f>Inputs_JanElectric!C26</f>
        <v>53.308159999999994</v>
      </c>
      <c r="L18" s="7">
        <f>RefTables!$F$126/1000</f>
        <v>18.940624999999997</v>
      </c>
      <c r="M18" s="4">
        <f>RefTables!$F$125/1000</f>
        <v>12.191666666666666</v>
      </c>
      <c r="N18" s="4"/>
      <c r="O18" s="4"/>
      <c r="P18" s="8">
        <f>BalancingMeasures!$N$15*$S18</f>
        <v>33.333333333333329</v>
      </c>
      <c r="Q18" s="238">
        <f t="shared" si="2"/>
        <v>8.3726021503397803</v>
      </c>
      <c r="R18" s="243">
        <f t="shared" si="3"/>
        <v>0.87012299732857967</v>
      </c>
      <c r="S18" s="107">
        <v>8</v>
      </c>
      <c r="T18" s="107"/>
      <c r="U18" s="107"/>
      <c r="V18" s="107"/>
      <c r="W18" s="158"/>
      <c r="X18" s="253"/>
      <c r="Y18" s="159"/>
      <c r="Z18" s="158"/>
    </row>
    <row r="19" spans="2:26" x14ac:dyDescent="0.35">
      <c r="B19" s="10">
        <v>2026</v>
      </c>
      <c r="C19" s="7">
        <f>RefTables!D34+RefTables!$F$49*RefTables!$F$57/1000</f>
        <v>173.57851694601806</v>
      </c>
      <c r="D19" s="111">
        <f>-Inputs_SupplyCurve!AL20/1000</f>
        <v>-17.083271756701425</v>
      </c>
      <c r="E19" s="111">
        <f>-(Inputs_SupplyCurve!AM20+Inputs_SupplyCurve!AN20)/1000-RefTables!D295</f>
        <v>-17.316104804317177</v>
      </c>
      <c r="F19" s="7">
        <f>RefTables!$F$80/1000</f>
        <v>99.970249999999993</v>
      </c>
      <c r="G19" s="4">
        <f>RefTables!$F$127/1000</f>
        <v>36.795041666666663</v>
      </c>
      <c r="H19" s="238">
        <f t="shared" si="0"/>
        <v>-2.4138487183327868</v>
      </c>
      <c r="I19" s="263">
        <f t="shared" si="1"/>
        <v>1.0176495709468159</v>
      </c>
      <c r="J19" s="343">
        <f t="shared" si="4"/>
        <v>2.4138487183327868</v>
      </c>
      <c r="K19" s="111">
        <f>Inputs_JanElectric!C27</f>
        <v>53.308159999999994</v>
      </c>
      <c r="L19" s="7">
        <f>RefTables!$F$126/1000</f>
        <v>18.940624999999997</v>
      </c>
      <c r="M19" s="4">
        <f>RefTables!$F$125/1000</f>
        <v>12.191666666666666</v>
      </c>
      <c r="N19" s="4"/>
      <c r="O19" s="4"/>
      <c r="P19" s="8">
        <f>BalancingMeasures!$N$15*$S19</f>
        <v>33.333333333333329</v>
      </c>
      <c r="Q19" s="238">
        <f t="shared" si="2"/>
        <v>8.7436162816672081</v>
      </c>
      <c r="R19" s="243">
        <f t="shared" si="3"/>
        <v>0.86436777303148449</v>
      </c>
      <c r="S19" s="107">
        <v>8</v>
      </c>
      <c r="T19" s="107"/>
      <c r="U19" s="107"/>
      <c r="V19" s="107"/>
      <c r="W19" s="158"/>
      <c r="X19" s="253"/>
      <c r="Y19" s="159"/>
      <c r="Z19" s="158"/>
    </row>
    <row r="20" spans="2:26" x14ac:dyDescent="0.35">
      <c r="B20" s="10">
        <v>2027</v>
      </c>
      <c r="C20" s="7">
        <f>RefTables!D35+RefTables!$F$49*RefTables!$F$57/1000</f>
        <v>174.42883757074813</v>
      </c>
      <c r="D20" s="111">
        <f>-Inputs_SupplyCurve!AL21/1000</f>
        <v>-17.288292820858608</v>
      </c>
      <c r="E20" s="111">
        <f>-(Inputs_SupplyCurve!AM21+Inputs_SupplyCurve!AN21)/1000-RefTables!D296</f>
        <v>-18.15378969685942</v>
      </c>
      <c r="F20" s="7">
        <f>RefTables!$F$80/1000</f>
        <v>99.970249999999993</v>
      </c>
      <c r="G20" s="4">
        <f>RefTables!$F$127/1000</f>
        <v>36.795041666666663</v>
      </c>
      <c r="H20" s="238">
        <f t="shared" si="0"/>
        <v>-2.221463386363439</v>
      </c>
      <c r="I20" s="263">
        <f t="shared" si="1"/>
        <v>1.0162428885230452</v>
      </c>
      <c r="J20" s="343">
        <f t="shared" si="4"/>
        <v>2.221463386363439</v>
      </c>
      <c r="K20" s="111">
        <f>Inputs_JanElectric!C28</f>
        <v>55.878479999999996</v>
      </c>
      <c r="L20" s="7">
        <f>RefTables!$F$126/1000</f>
        <v>18.940624999999997</v>
      </c>
      <c r="M20" s="4">
        <f>RefTables!$F$125/1000</f>
        <v>12.191666666666666</v>
      </c>
      <c r="N20" s="4"/>
      <c r="O20" s="4"/>
      <c r="P20" s="8">
        <f>BalancingMeasures!$N$15*$S20</f>
        <v>33.333333333333329</v>
      </c>
      <c r="Q20" s="238">
        <f t="shared" si="2"/>
        <v>6.3656816136365535</v>
      </c>
      <c r="R20" s="243">
        <f t="shared" si="3"/>
        <v>0.9012546358832858</v>
      </c>
      <c r="S20" s="107">
        <v>8</v>
      </c>
      <c r="T20" s="107"/>
      <c r="U20" s="107"/>
      <c r="V20" s="107"/>
      <c r="W20" s="158"/>
      <c r="X20" s="253"/>
      <c r="Y20" s="159"/>
      <c r="Z20" s="158"/>
    </row>
    <row r="21" spans="2:26" x14ac:dyDescent="0.35">
      <c r="B21" s="10">
        <v>2028</v>
      </c>
      <c r="C21" s="7">
        <f>RefTables!D36+RefTables!$F$49*RefTables!$F$57/1000</f>
        <v>175.28340979860184</v>
      </c>
      <c r="D21" s="111">
        <f>-Inputs_SupplyCurve!AL22/1000</f>
        <v>-17.516075072155846</v>
      </c>
      <c r="E21" s="111">
        <f>-(Inputs_SupplyCurve!AM22+Inputs_SupplyCurve!AN22)/1000-RefTables!D297</f>
        <v>-18.991474589401662</v>
      </c>
      <c r="F21" s="7">
        <f>RefTables!$F$80/1000</f>
        <v>99.970249999999993</v>
      </c>
      <c r="G21" s="4">
        <f>RefTables!$F$127/1000</f>
        <v>36.795041666666663</v>
      </c>
      <c r="H21" s="238">
        <f t="shared" si="0"/>
        <v>-2.0105684703776774</v>
      </c>
      <c r="I21" s="263">
        <f t="shared" si="1"/>
        <v>1.0147008677850662</v>
      </c>
      <c r="J21" s="343">
        <f t="shared" si="4"/>
        <v>2.0105684703776774</v>
      </c>
      <c r="K21" s="111">
        <f>Inputs_JanElectric!C29</f>
        <v>60.070159999999987</v>
      </c>
      <c r="L21" s="7">
        <f>RefTables!$F$126/1000</f>
        <v>18.940624999999997</v>
      </c>
      <c r="M21" s="4">
        <f>RefTables!$F$125/1000</f>
        <v>12.191666666666666</v>
      </c>
      <c r="N21" s="4"/>
      <c r="O21" s="4"/>
      <c r="P21" s="8">
        <f>BalancingMeasures!$N$15*$S21</f>
        <v>37.499999999999993</v>
      </c>
      <c r="Q21" s="238">
        <f t="shared" si="2"/>
        <v>6.5515631962889955</v>
      </c>
      <c r="R21" s="243">
        <f t="shared" si="3"/>
        <v>0.904541098115904</v>
      </c>
      <c r="S21" s="107">
        <v>9</v>
      </c>
      <c r="T21" s="107"/>
      <c r="U21" s="107"/>
      <c r="V21" s="107"/>
      <c r="W21" s="158"/>
      <c r="X21" s="253"/>
      <c r="Y21" s="159"/>
      <c r="Z21" s="158"/>
    </row>
    <row r="22" spans="2:26" x14ac:dyDescent="0.35">
      <c r="B22" s="10">
        <v>2029</v>
      </c>
      <c r="C22" s="7">
        <f>RefTables!D37+RefTables!$F$49*RefTables!$F$57/1000</f>
        <v>176.14225488759482</v>
      </c>
      <c r="D22" s="111">
        <f>-Inputs_SupplyCurve!AL23/1000</f>
        <v>-17.604403492149142</v>
      </c>
      <c r="E22" s="111">
        <f>-(Inputs_SupplyCurve!AM23+Inputs_SupplyCurve!AN23)/1000-RefTables!D298</f>
        <v>-19.829159481943904</v>
      </c>
      <c r="F22" s="7">
        <f>RefTables!$F$80/1000</f>
        <v>99.970249999999993</v>
      </c>
      <c r="G22" s="4">
        <f>RefTables!$F$127/1000</f>
        <v>36.795041666666663</v>
      </c>
      <c r="H22" s="238">
        <f t="shared" si="0"/>
        <v>-1.9434002468350968</v>
      </c>
      <c r="I22" s="263">
        <f t="shared" si="1"/>
        <v>1.0142097473938905</v>
      </c>
      <c r="J22" s="343">
        <f t="shared" si="4"/>
        <v>1.9434002468350968</v>
      </c>
      <c r="K22" s="111">
        <f>Inputs_JanElectric!C30</f>
        <v>60.070159999999987</v>
      </c>
      <c r="L22" s="7">
        <f>RefTables!$F$126/1000</f>
        <v>18.940624999999997</v>
      </c>
      <c r="M22" s="4">
        <f>RefTables!$F$125/1000</f>
        <v>12.191666666666666</v>
      </c>
      <c r="N22" s="4"/>
      <c r="O22" s="4"/>
      <c r="P22" s="8">
        <f>BalancingMeasures!$N$15*$S22</f>
        <v>37.499999999999993</v>
      </c>
      <c r="Q22" s="238">
        <f t="shared" si="2"/>
        <v>6.6187314198315761</v>
      </c>
      <c r="R22" s="243">
        <f t="shared" si="3"/>
        <v>0.90356243017532578</v>
      </c>
      <c r="S22" s="107">
        <v>9</v>
      </c>
      <c r="T22" s="107"/>
      <c r="U22" s="107"/>
      <c r="V22" s="107"/>
      <c r="W22" s="158"/>
      <c r="X22" s="253"/>
      <c r="Y22" s="159"/>
      <c r="Z22" s="158"/>
    </row>
    <row r="23" spans="2:26" ht="18" thickBot="1" x14ac:dyDescent="0.4">
      <c r="B23" s="11">
        <v>2030</v>
      </c>
      <c r="C23" s="12">
        <f>RefTables!D38+RefTables!$F$49*RefTables!$F$57/1000</f>
        <v>177.00539420203276</v>
      </c>
      <c r="D23" s="112">
        <f>-Inputs_SupplyCurve!AL24/1000</f>
        <v>-17.653989744732193</v>
      </c>
      <c r="E23" s="112">
        <f>-(Inputs_SupplyCurve!AM24+Inputs_SupplyCurve!AN24)/1000-RefTables!D299</f>
        <v>-20.666844374486139</v>
      </c>
      <c r="F23" s="12">
        <f>RefTables!$F$80/1000</f>
        <v>99.970249999999993</v>
      </c>
      <c r="G23" s="13">
        <f>RefTables!$F$127/1000</f>
        <v>36.795041666666663</v>
      </c>
      <c r="H23" s="239">
        <f t="shared" si="0"/>
        <v>-1.9192684161477587</v>
      </c>
      <c r="I23" s="264">
        <f t="shared" si="1"/>
        <v>1.0140333003553674</v>
      </c>
      <c r="J23" s="344">
        <f t="shared" si="4"/>
        <v>1.9192684161477587</v>
      </c>
      <c r="K23" s="112">
        <f>Inputs_JanElectric!C31</f>
        <v>60.978319999999989</v>
      </c>
      <c r="L23" s="12">
        <f>RefTables!$F$126/1000</f>
        <v>18.940624999999997</v>
      </c>
      <c r="M23" s="13">
        <f>RefTables!$F$125/1000</f>
        <v>12.191666666666666</v>
      </c>
      <c r="N23" s="13"/>
      <c r="O23" s="13"/>
      <c r="P23" s="14">
        <f>BalancingMeasures!$N$15*$S23</f>
        <v>37.499999999999993</v>
      </c>
      <c r="Q23" s="239">
        <f t="shared" si="2"/>
        <v>5.7347032505189119</v>
      </c>
      <c r="R23" s="252">
        <f t="shared" si="3"/>
        <v>0.91644307495411603</v>
      </c>
      <c r="S23" s="107">
        <v>9</v>
      </c>
      <c r="T23" s="107"/>
      <c r="U23" s="107"/>
      <c r="V23" s="107"/>
      <c r="W23" s="158"/>
      <c r="X23" s="253"/>
      <c r="Y23" s="159"/>
      <c r="Z23" s="158"/>
    </row>
    <row r="25" spans="2:26" ht="21.75" x14ac:dyDescent="0.45">
      <c r="B25" s="440" t="s">
        <v>3</v>
      </c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188">
        <v>1.5</v>
      </c>
      <c r="T25" s="188">
        <v>1.8</v>
      </c>
      <c r="U25" s="340" t="s">
        <v>546</v>
      </c>
    </row>
    <row r="26" spans="2:26" ht="18" thickBot="1" x14ac:dyDescent="0.4">
      <c r="B26" s="2"/>
      <c r="C26" s="2"/>
      <c r="D26" s="184"/>
      <c r="E26" s="184"/>
      <c r="F26" s="75"/>
      <c r="G26" s="2"/>
      <c r="H26" s="2"/>
      <c r="I26" s="2"/>
      <c r="S26" s="188">
        <f>MIN(S8_LowRefNGHydro!$P$8:$P$23)*24/(RefTables!F10*1000)</f>
        <v>0.5870841487279842</v>
      </c>
      <c r="T26" s="188">
        <f>MAX(S2_BaseLowNGNoHydro!$P$8:$P$23)*24/(RefTables!F10*1000)</f>
        <v>0.88062622309197625</v>
      </c>
      <c r="U26" t="s">
        <v>547</v>
      </c>
    </row>
    <row r="27" spans="2:26" ht="19.5" customHeight="1" x14ac:dyDescent="0.4">
      <c r="B27" s="460" t="s">
        <v>549</v>
      </c>
      <c r="C27" s="454" t="s">
        <v>435</v>
      </c>
      <c r="D27" s="455"/>
      <c r="E27" s="455"/>
      <c r="F27" s="437" t="s">
        <v>551</v>
      </c>
      <c r="G27" s="438"/>
      <c r="H27" s="433" t="s">
        <v>1</v>
      </c>
      <c r="J27" s="456" t="s">
        <v>347</v>
      </c>
      <c r="K27" s="452" t="s">
        <v>435</v>
      </c>
      <c r="L27" s="453"/>
      <c r="M27" s="453"/>
      <c r="N27" s="435" t="s">
        <v>551</v>
      </c>
      <c r="O27" s="439"/>
      <c r="P27" s="435" t="s">
        <v>1</v>
      </c>
      <c r="Q27" s="435" t="s">
        <v>559</v>
      </c>
      <c r="R27" s="441"/>
    </row>
    <row r="28" spans="2:26" ht="52.5" customHeight="1" thickBot="1" x14ac:dyDescent="0.4">
      <c r="B28" s="461"/>
      <c r="C28" s="156" t="s">
        <v>456</v>
      </c>
      <c r="D28" s="157" t="s">
        <v>425</v>
      </c>
      <c r="E28" s="157" t="s">
        <v>20</v>
      </c>
      <c r="F28" s="156" t="s">
        <v>267</v>
      </c>
      <c r="G28" s="348" t="s">
        <v>106</v>
      </c>
      <c r="H28" s="434"/>
      <c r="J28" s="457"/>
      <c r="K28" s="154" t="s">
        <v>456</v>
      </c>
      <c r="L28" s="155" t="s">
        <v>425</v>
      </c>
      <c r="M28" s="155" t="s">
        <v>20</v>
      </c>
      <c r="N28" s="154" t="s">
        <v>537</v>
      </c>
      <c r="O28" s="349" t="s">
        <v>106</v>
      </c>
      <c r="P28" s="436"/>
      <c r="Q28" s="154" t="s">
        <v>560</v>
      </c>
      <c r="R28" s="357" t="s">
        <v>558</v>
      </c>
    </row>
    <row r="29" spans="2:26" x14ac:dyDescent="0.35">
      <c r="B29" s="9">
        <v>2015</v>
      </c>
      <c r="C29" s="5">
        <f>RefTables!C23/1000+(RefTables!$F$49*RefTables!$F$57/RefTables!E23)*10^-6</f>
        <v>262.16001363122507</v>
      </c>
      <c r="D29" s="110">
        <f>-Inputs_SupplyCurve!X9*10^-6</f>
        <v>-14.748059417778327</v>
      </c>
      <c r="E29" s="110">
        <f>-(Inputs_SupplyCurve!Y9+Inputs_SupplyCurve!Z9)*10^-6-RefTables!C284</f>
        <v>-11.961418513571806</v>
      </c>
      <c r="F29" s="342">
        <f>Inputs_AnnualElectric!C16*10^-6</f>
        <v>181.31131999999999</v>
      </c>
      <c r="G29" s="345">
        <f t="shared" ref="G29:G44" si="5">-O8/1000</f>
        <v>-4.0170000000000006E-3</v>
      </c>
      <c r="H29" s="278">
        <f t="shared" ref="H29:H44" si="6">SUM(C29:E29,F29,G29)</f>
        <v>416.75783869987492</v>
      </c>
      <c r="I29" s="77"/>
      <c r="J29" s="9">
        <v>2015</v>
      </c>
      <c r="K29" s="5">
        <f>C29*RefTables!$O139</f>
        <v>13.786087607379818</v>
      </c>
      <c r="L29" s="3">
        <f>D29*RefTables!$O139</f>
        <v>-0.77554939197683359</v>
      </c>
      <c r="M29" s="3">
        <f>E29*RefTables!$O139</f>
        <v>-0.62900959323491168</v>
      </c>
      <c r="N29" s="342">
        <f>Inputs_AnnualElectric!D16*10^-6</f>
        <v>18.248599257178306</v>
      </c>
      <c r="O29" s="345">
        <f>O8*RefTables!I165/1000</f>
        <v>9.7962852301197603E-5</v>
      </c>
      <c r="P29" s="342">
        <f t="shared" ref="P29:P44" si="7">SUM(K29:M29,N29,O29)</f>
        <v>30.63022584219868</v>
      </c>
      <c r="Q29" s="5" t="s">
        <v>561</v>
      </c>
      <c r="R29" s="358" t="s">
        <v>561</v>
      </c>
    </row>
    <row r="30" spans="2:26" x14ac:dyDescent="0.35">
      <c r="B30" s="10">
        <v>2016</v>
      </c>
      <c r="C30" s="7">
        <f>RefTables!C24/1000+(RefTables!$F$49*RefTables!$F$57/RefTables!E24)*10^-6</f>
        <v>266.66263355879875</v>
      </c>
      <c r="D30" s="111">
        <f>-Inputs_SupplyCurve!X10*10^-6</f>
        <v>-17.091628128484885</v>
      </c>
      <c r="E30" s="111">
        <f>-(Inputs_SupplyCurve!Y10+Inputs_SupplyCurve!Z10)*10^-6-RefTables!C285</f>
        <v>-13.670192586939207</v>
      </c>
      <c r="F30" s="343">
        <f>Inputs_AnnualElectric!C17*10^-6</f>
        <v>184.97228999999999</v>
      </c>
      <c r="G30" s="346">
        <f t="shared" si="5"/>
        <v>0</v>
      </c>
      <c r="H30" s="279">
        <f t="shared" si="6"/>
        <v>420.87310284337462</v>
      </c>
      <c r="I30" s="77"/>
      <c r="J30" s="10">
        <v>2016</v>
      </c>
      <c r="K30" s="7">
        <f>C30*RefTables!$O140</f>
        <v>14.023318260131667</v>
      </c>
      <c r="L30" s="4">
        <f>D30*RefTables!$O140</f>
        <v>-0.89881862198256846</v>
      </c>
      <c r="M30" s="4">
        <f>E30*RefTables!$O140</f>
        <v>-0.71889135258866788</v>
      </c>
      <c r="N30" s="343">
        <f>Inputs_AnnualElectric!D17*10^-6</f>
        <v>18.283062564555987</v>
      </c>
      <c r="O30" s="346">
        <f>O9*RefTables!I166/1000</f>
        <v>0</v>
      </c>
      <c r="P30" s="343">
        <f t="shared" si="7"/>
        <v>30.688670850116416</v>
      </c>
      <c r="Q30" s="7" t="s">
        <v>561</v>
      </c>
      <c r="R30" s="359" t="s">
        <v>561</v>
      </c>
    </row>
    <row r="31" spans="2:26" x14ac:dyDescent="0.35">
      <c r="B31" s="10">
        <v>2017</v>
      </c>
      <c r="C31" s="7">
        <f>RefTables!C25/1000+(RefTables!$F$49*RefTables!$F$57/RefTables!E25)*10^-6</f>
        <v>269.91601236696005</v>
      </c>
      <c r="D31" s="111">
        <f>-Inputs_SupplyCurve!X11*10^-6</f>
        <v>-19.586736639191439</v>
      </c>
      <c r="E31" s="111">
        <f>-(Inputs_SupplyCurve!Y11+Inputs_SupplyCurve!Z11)*10^-6-RefTables!C286</f>
        <v>-15.378966660306608</v>
      </c>
      <c r="F31" s="343">
        <f>Inputs_AnnualElectric!C18*10^-6</f>
        <v>200.45116999999999</v>
      </c>
      <c r="G31" s="346">
        <f t="shared" si="5"/>
        <v>0</v>
      </c>
      <c r="H31" s="279">
        <f t="shared" si="6"/>
        <v>435.40147906746199</v>
      </c>
      <c r="I31" s="77"/>
      <c r="J31" s="10">
        <v>2017</v>
      </c>
      <c r="K31" s="7">
        <f>C31*RefTables!$O141</f>
        <v>14.194624727085387</v>
      </c>
      <c r="L31" s="4">
        <f>D31*RefTables!$O141</f>
        <v>-1.0300477314535521</v>
      </c>
      <c r="M31" s="4">
        <f>E31*RefTables!$O141</f>
        <v>-0.80876513593652766</v>
      </c>
      <c r="N31" s="343">
        <f>Inputs_AnnualElectric!D18*10^-6</f>
        <v>17.843294807616367</v>
      </c>
      <c r="O31" s="346">
        <f>O10*RefTables!I167/1000</f>
        <v>0</v>
      </c>
      <c r="P31" s="343">
        <f t="shared" si="7"/>
        <v>30.199106667311675</v>
      </c>
      <c r="Q31" s="7" t="s">
        <v>561</v>
      </c>
      <c r="R31" s="359" t="s">
        <v>561</v>
      </c>
    </row>
    <row r="32" spans="2:26" x14ac:dyDescent="0.35">
      <c r="B32" s="10">
        <v>2018</v>
      </c>
      <c r="C32" s="7">
        <f>RefTables!C26/1000+(RefTables!$F$49*RefTables!$F$57/RefTables!E26)*10^-6</f>
        <v>273.65353546042417</v>
      </c>
      <c r="D32" s="111">
        <f>-Inputs_SupplyCurve!X12*10^-6</f>
        <v>-21.682223169897995</v>
      </c>
      <c r="E32" s="111">
        <f>-(Inputs_SupplyCurve!Y12+Inputs_SupplyCurve!Z12)*10^-6-RefTables!C287</f>
        <v>-17.087740733674007</v>
      </c>
      <c r="F32" s="343">
        <f>Inputs_AnnualElectric!C19*10^-6</f>
        <v>199.11999</v>
      </c>
      <c r="G32" s="346">
        <f t="shared" si="5"/>
        <v>0</v>
      </c>
      <c r="H32" s="279">
        <f t="shared" si="6"/>
        <v>434.00356155685216</v>
      </c>
      <c r="I32" s="77"/>
      <c r="J32" s="10">
        <v>2018</v>
      </c>
      <c r="K32" s="7">
        <f>C32*RefTables!$O142</f>
        <v>14.392299716320712</v>
      </c>
      <c r="L32" s="4">
        <f>D32*RefTables!$O142</f>
        <v>-1.1403362790555105</v>
      </c>
      <c r="M32" s="4">
        <f>E32*RefTables!$O142</f>
        <v>-0.8986980040292043</v>
      </c>
      <c r="N32" s="343">
        <f>Inputs_AnnualElectric!D19*10^-6</f>
        <v>17.105871258966395</v>
      </c>
      <c r="O32" s="346">
        <f>O11*RefTables!I168/1000</f>
        <v>0</v>
      </c>
      <c r="P32" s="343">
        <f t="shared" si="7"/>
        <v>29.459136692202392</v>
      </c>
      <c r="Q32" s="7" t="s">
        <v>561</v>
      </c>
      <c r="R32" s="359" t="s">
        <v>561</v>
      </c>
    </row>
    <row r="33" spans="2:18" x14ac:dyDescent="0.35">
      <c r="B33" s="10">
        <v>2019</v>
      </c>
      <c r="C33" s="7">
        <f>RefTables!C27/1000+(RefTables!$F$49*RefTables!$F$57/RefTables!E27)*10^-6</f>
        <v>277.53709599613234</v>
      </c>
      <c r="D33" s="111">
        <f>-Inputs_SupplyCurve!X13*10^-6</f>
        <v>-23.618286660152062</v>
      </c>
      <c r="E33" s="111">
        <f>-(Inputs_SupplyCurve!Y13+Inputs_SupplyCurve!Z13)*10^-6-RefTables!C288</f>
        <v>-18.796514807041408</v>
      </c>
      <c r="F33" s="343">
        <f>Inputs_AnnualElectric!C20*10^-6</f>
        <v>205.01702</v>
      </c>
      <c r="G33" s="346">
        <f t="shared" si="5"/>
        <v>0</v>
      </c>
      <c r="H33" s="279">
        <f t="shared" si="6"/>
        <v>440.13931452893888</v>
      </c>
      <c r="I33" s="77"/>
      <c r="J33" s="10">
        <v>2019</v>
      </c>
      <c r="K33" s="7">
        <f>C33*RefTables!$O143</f>
        <v>14.597233580002769</v>
      </c>
      <c r="L33" s="4">
        <f>D33*RefTables!$O143</f>
        <v>-1.2422182551859935</v>
      </c>
      <c r="M33" s="4">
        <f>E33*RefTables!$O143</f>
        <v>-0.98861421080873357</v>
      </c>
      <c r="N33" s="343">
        <f>Inputs_AnnualElectric!D20*10^-6</f>
        <v>17.407429797873675</v>
      </c>
      <c r="O33" s="346">
        <f>O12*RefTables!I169/1000</f>
        <v>0</v>
      </c>
      <c r="P33" s="343">
        <f t="shared" si="7"/>
        <v>29.773830911881717</v>
      </c>
      <c r="Q33" s="7" t="s">
        <v>561</v>
      </c>
      <c r="R33" s="359" t="s">
        <v>561</v>
      </c>
    </row>
    <row r="34" spans="2:18" x14ac:dyDescent="0.35">
      <c r="B34" s="10">
        <v>2020</v>
      </c>
      <c r="C34" s="7">
        <f>RefTables!C28/1000+(RefTables!$F$49*RefTables!$F$57/RefTables!E28)*10^-6</f>
        <v>278.89570810406974</v>
      </c>
      <c r="D34" s="111">
        <f>-Inputs_SupplyCurve!X14*10^-6</f>
        <v>-25.635616580858617</v>
      </c>
      <c r="E34" s="111">
        <f>-(Inputs_SupplyCurve!Y14+Inputs_SupplyCurve!Z14)*10^-6-RefTables!C289</f>
        <v>-20.505288880408809</v>
      </c>
      <c r="F34" s="343">
        <f>Inputs_AnnualElectric!C21*10^-6</f>
        <v>255.78386999999998</v>
      </c>
      <c r="G34" s="346">
        <f t="shared" si="5"/>
        <v>0</v>
      </c>
      <c r="H34" s="279">
        <f t="shared" si="6"/>
        <v>488.53867264280228</v>
      </c>
      <c r="I34" s="77"/>
      <c r="J34" s="10">
        <v>2020</v>
      </c>
      <c r="K34" s="7">
        <f>C34*RefTables!$O144</f>
        <v>14.669979949578757</v>
      </c>
      <c r="L34" s="4">
        <f>D34*RefTables!$O144</f>
        <v>-1.3484394714885783</v>
      </c>
      <c r="M34" s="4">
        <f>E34*RefTables!$O144</f>
        <v>-1.0785830258229345</v>
      </c>
      <c r="N34" s="343">
        <f>Inputs_AnnualElectric!D21*10^-6</f>
        <v>17.236344445390461</v>
      </c>
      <c r="O34" s="346">
        <f>O13*RefTables!I170/1000</f>
        <v>0</v>
      </c>
      <c r="P34" s="238">
        <f t="shared" si="7"/>
        <v>29.479301897657706</v>
      </c>
      <c r="Q34" s="7">
        <f>RefTables!$F$227</f>
        <v>23.326496260794567</v>
      </c>
      <c r="R34" s="360" t="str">
        <f>IF(P34&lt;=Q34,"Yes","No")</f>
        <v>No</v>
      </c>
    </row>
    <row r="35" spans="2:18" x14ac:dyDescent="0.35">
      <c r="B35" s="10">
        <v>2021</v>
      </c>
      <c r="C35" s="7">
        <f>RefTables!C29/1000+(RefTables!$F$49*RefTables!$F$57/RefTables!E29)*10^-6</f>
        <v>280.26111327254694</v>
      </c>
      <c r="D35" s="111">
        <f>-Inputs_SupplyCurve!X15*10^-6</f>
        <v>-27.052987367565176</v>
      </c>
      <c r="E35" s="111">
        <f>-(Inputs_SupplyCurve!Y15+Inputs_SupplyCurve!Z15)*10^-6-RefTables!C290</f>
        <v>-21.902927372914633</v>
      </c>
      <c r="F35" s="343">
        <f>Inputs_AnnualElectric!C22*10^-6</f>
        <v>246.83453999999998</v>
      </c>
      <c r="G35" s="346">
        <f t="shared" si="5"/>
        <v>0</v>
      </c>
      <c r="H35" s="279">
        <f t="shared" si="6"/>
        <v>478.1397385320671</v>
      </c>
      <c r="I35" s="77"/>
      <c r="J35" s="10">
        <v>2021</v>
      </c>
      <c r="K35" s="7">
        <f>C35*RefTables!$O145</f>
        <v>14.744523354157211</v>
      </c>
      <c r="L35" s="4">
        <f>D35*RefTables!$O145</f>
        <v>-1.4232563318653508</v>
      </c>
      <c r="M35" s="4">
        <f>E35*RefTables!$O145</f>
        <v>-1.1523119294123763</v>
      </c>
      <c r="N35" s="343">
        <f>Inputs_AnnualElectric!D22*10^-6</f>
        <v>17.096854029630311</v>
      </c>
      <c r="O35" s="346">
        <f>O14*RefTables!I171/1000</f>
        <v>0</v>
      </c>
      <c r="P35" s="343">
        <f t="shared" si="7"/>
        <v>29.265809122509793</v>
      </c>
      <c r="Q35" s="7" t="s">
        <v>561</v>
      </c>
      <c r="R35" s="359" t="s">
        <v>561</v>
      </c>
    </row>
    <row r="36" spans="2:18" x14ac:dyDescent="0.35">
      <c r="B36" s="10">
        <v>2022</v>
      </c>
      <c r="C36" s="7">
        <f>RefTables!C30/1000+(RefTables!$F$49*RefTables!$F$57/RefTables!E30)*10^-6</f>
        <v>281.63334546686644</v>
      </c>
      <c r="D36" s="111">
        <f>-Inputs_SupplyCurve!X16*10^-6</f>
        <v>-28.468973174548733</v>
      </c>
      <c r="E36" s="111">
        <f>-(Inputs_SupplyCurve!Y16+Inputs_SupplyCurve!Z16)*10^-6-RefTables!C291</f>
        <v>-23.300565865420459</v>
      </c>
      <c r="F36" s="343">
        <f>Inputs_AnnualElectric!C23*10^-6</f>
        <v>233.3956</v>
      </c>
      <c r="G36" s="346">
        <f t="shared" si="5"/>
        <v>0</v>
      </c>
      <c r="H36" s="279">
        <f t="shared" si="6"/>
        <v>463.25940642689727</v>
      </c>
      <c r="I36" s="77"/>
      <c r="J36" s="10">
        <v>2022</v>
      </c>
      <c r="K36" s="7">
        <f>C36*RefTables!$O146</f>
        <v>14.820700159149807</v>
      </c>
      <c r="L36" s="4">
        <f>D36*RefTables!$O146</f>
        <v>-1.4981539723551844</v>
      </c>
      <c r="M36" s="4">
        <f>E36*RefTables!$O146</f>
        <v>-1.2261712108609133</v>
      </c>
      <c r="N36" s="343">
        <f>Inputs_AnnualElectric!D23*10^-6</f>
        <v>16.798715662568934</v>
      </c>
      <c r="O36" s="346">
        <f>O15*RefTables!I172/1000</f>
        <v>0</v>
      </c>
      <c r="P36" s="343">
        <f t="shared" si="7"/>
        <v>28.895090638502644</v>
      </c>
      <c r="Q36" s="7" t="s">
        <v>561</v>
      </c>
      <c r="R36" s="359" t="s">
        <v>561</v>
      </c>
    </row>
    <row r="37" spans="2:18" x14ac:dyDescent="0.35">
      <c r="B37" s="10">
        <v>2023</v>
      </c>
      <c r="C37" s="7">
        <f>RefTables!C31/1000+(RefTables!$F$49*RefTables!$F$57/RefTables!E31)*10^-6</f>
        <v>283.01243882215761</v>
      </c>
      <c r="D37" s="111">
        <f>-Inputs_SupplyCurve!X17*10^-6</f>
        <v>-29.125728491427559</v>
      </c>
      <c r="E37" s="111">
        <f>-(Inputs_SupplyCurve!Y17+Inputs_SupplyCurve!Z17)*10^-6-RefTables!C292</f>
        <v>-24.698204357926286</v>
      </c>
      <c r="F37" s="343">
        <f>Inputs_AnnualElectric!C24*10^-6</f>
        <v>235.94878</v>
      </c>
      <c r="G37" s="346">
        <f t="shared" si="5"/>
        <v>0</v>
      </c>
      <c r="H37" s="279">
        <f t="shared" si="6"/>
        <v>465.13728597280374</v>
      </c>
      <c r="I37" s="77"/>
      <c r="J37" s="10">
        <v>2023</v>
      </c>
      <c r="K37" s="7">
        <f>C37*RefTables!$O147</f>
        <v>14.898140021790372</v>
      </c>
      <c r="L37" s="4">
        <f>D37*RefTables!$O147</f>
        <v>-1.5332159360479836</v>
      </c>
      <c r="M37" s="4">
        <f>E37*RefTables!$O147</f>
        <v>-1.3001453517115549</v>
      </c>
      <c r="N37" s="343">
        <f>Inputs_AnnualElectric!D24*10^-6</f>
        <v>16.906576384292098</v>
      </c>
      <c r="O37" s="346">
        <f>O16*RefTables!I173/1000</f>
        <v>0</v>
      </c>
      <c r="P37" s="343">
        <f t="shared" si="7"/>
        <v>28.971355118322933</v>
      </c>
      <c r="Q37" s="7" t="s">
        <v>561</v>
      </c>
      <c r="R37" s="359" t="s">
        <v>561</v>
      </c>
    </row>
    <row r="38" spans="2:18" x14ac:dyDescent="0.35">
      <c r="B38" s="10">
        <v>2024</v>
      </c>
      <c r="C38" s="7">
        <f>RefTables!C32/1000+(RefTables!$F$49*RefTables!$F$57/RefTables!E32)*10^-6</f>
        <v>284.39842764422514</v>
      </c>
      <c r="D38" s="111">
        <f>-Inputs_SupplyCurve!X18*10^-6</f>
        <v>-29.983280079358845</v>
      </c>
      <c r="E38" s="111">
        <f>-(Inputs_SupplyCurve!Y18+Inputs_SupplyCurve!Z18)*10^-6-RefTables!C293</f>
        <v>-26.095842850432113</v>
      </c>
      <c r="F38" s="343">
        <f>Inputs_AnnualElectric!C25*10^-6</f>
        <v>248.22282999999999</v>
      </c>
      <c r="G38" s="346">
        <f t="shared" si="5"/>
        <v>0</v>
      </c>
      <c r="H38" s="279">
        <f t="shared" si="6"/>
        <v>476.54213471443416</v>
      </c>
      <c r="I38" s="77"/>
      <c r="J38" s="10">
        <v>2024</v>
      </c>
      <c r="K38" s="7">
        <f>C38*RefTables!$O148</f>
        <v>14.978332305599096</v>
      </c>
      <c r="L38" s="4">
        <f>D38*RefTables!$O148</f>
        <v>-1.5791210111832896</v>
      </c>
      <c r="M38" s="4">
        <f>E38*RefTables!$O148</f>
        <v>-1.3743824438348697</v>
      </c>
      <c r="N38" s="343">
        <f>Inputs_AnnualElectric!D25*10^-6</f>
        <v>16.711819687298586</v>
      </c>
      <c r="O38" s="346">
        <f>O17*RefTables!I174/1000</f>
        <v>0</v>
      </c>
      <c r="P38" s="343">
        <f t="shared" si="7"/>
        <v>28.736648537879525</v>
      </c>
      <c r="Q38" s="7" t="s">
        <v>561</v>
      </c>
      <c r="R38" s="359" t="s">
        <v>561</v>
      </c>
    </row>
    <row r="39" spans="2:18" x14ac:dyDescent="0.35">
      <c r="B39" s="10">
        <v>2025</v>
      </c>
      <c r="C39" s="7">
        <f>RefTables!C33/1000+(RefTables!$F$49*RefTables!$F$57/RefTables!E33)*10^-6</f>
        <v>285.79134641040304</v>
      </c>
      <c r="D39" s="111">
        <f>-Inputs_SupplyCurve!X19*10^-6</f>
        <v>-30.728406772124394</v>
      </c>
      <c r="E39" s="111">
        <f>-(Inputs_SupplyCurve!Y19+Inputs_SupplyCurve!Z19)*10^-6-RefTables!C294</f>
        <v>-27.49348134293794</v>
      </c>
      <c r="F39" s="343">
        <f>Inputs_AnnualElectric!C26*10^-6</f>
        <v>254.28784999999999</v>
      </c>
      <c r="G39" s="346">
        <f t="shared" si="5"/>
        <v>0</v>
      </c>
      <c r="H39" s="279">
        <f t="shared" si="6"/>
        <v>481.85730829534066</v>
      </c>
      <c r="I39" s="77"/>
      <c r="J39" s="10">
        <v>2025</v>
      </c>
      <c r="K39" s="7">
        <f>C39*RefTables!$O149</f>
        <v>15.060203172349356</v>
      </c>
      <c r="L39" s="4">
        <f>D39*RefTables!$O149</f>
        <v>-1.6192794322268669</v>
      </c>
      <c r="M39" s="4">
        <f>E39*RefTables!$O149</f>
        <v>-1.4488101901631609</v>
      </c>
      <c r="N39" s="343">
        <f>Inputs_AnnualElectric!D26*10^-6</f>
        <v>16.948034557697163</v>
      </c>
      <c r="O39" s="346">
        <f>O18*RefTables!I175/1000</f>
        <v>0</v>
      </c>
      <c r="P39" s="343">
        <f t="shared" si="7"/>
        <v>28.940148107656491</v>
      </c>
      <c r="Q39" s="7" t="s">
        <v>561</v>
      </c>
      <c r="R39" s="359" t="s">
        <v>561</v>
      </c>
    </row>
    <row r="40" spans="2:18" x14ac:dyDescent="0.35">
      <c r="B40" s="10">
        <v>2026</v>
      </c>
      <c r="C40" s="7">
        <f>RefTables!C34/1000+(RefTables!$F$49*RefTables!$F$57/RefTables!E34)*10^-6</f>
        <v>287.19122977041189</v>
      </c>
      <c r="D40" s="111">
        <f>-Inputs_SupplyCurve!X20*10^-6</f>
        <v>-31.426386723627939</v>
      </c>
      <c r="E40" s="111">
        <f>-(Inputs_SupplyCurve!Y20+Inputs_SupplyCurve!Z20)*10^-6-RefTables!C295</f>
        <v>-28.891119835443767</v>
      </c>
      <c r="F40" s="343">
        <f>Inputs_AnnualElectric!C27*10^-6</f>
        <v>254.77688999999998</v>
      </c>
      <c r="G40" s="346">
        <f t="shared" si="5"/>
        <v>0</v>
      </c>
      <c r="H40" s="279">
        <f t="shared" si="6"/>
        <v>481.65061321134021</v>
      </c>
      <c r="I40" s="77"/>
      <c r="J40" s="10">
        <v>2026</v>
      </c>
      <c r="K40" s="7">
        <f>C40*RefTables!$O150</f>
        <v>15.1445745280541</v>
      </c>
      <c r="L40" s="4">
        <f>D40*RefTables!$O150</f>
        <v>-1.6572207175821887</v>
      </c>
      <c r="M40" s="4">
        <f>E40*RefTables!$O150</f>
        <v>-1.5235274346525276</v>
      </c>
      <c r="N40" s="343">
        <f>Inputs_AnnualElectric!D27*10^-6</f>
        <v>16.806739795660132</v>
      </c>
      <c r="O40" s="346">
        <f>O19*RefTables!I176/1000</f>
        <v>0</v>
      </c>
      <c r="P40" s="343">
        <f t="shared" si="7"/>
        <v>28.770566171479516</v>
      </c>
      <c r="Q40" s="7" t="s">
        <v>561</v>
      </c>
      <c r="R40" s="359" t="s">
        <v>561</v>
      </c>
    </row>
    <row r="41" spans="2:18" x14ac:dyDescent="0.35">
      <c r="B41" s="10">
        <v>2027</v>
      </c>
      <c r="C41" s="7">
        <f>RefTables!C35/1000+(RefTables!$F$49*RefTables!$F$57/RefTables!E35)*10^-6</f>
        <v>288.59811254722075</v>
      </c>
      <c r="D41" s="111">
        <f>-Inputs_SupplyCurve!X21*10^-6</f>
        <v>-31.803543473251491</v>
      </c>
      <c r="E41" s="111">
        <f>-(Inputs_SupplyCurve!Y21+Inputs_SupplyCurve!Z21)*10^-6-RefTables!C296</f>
        <v>-30.288758327949594</v>
      </c>
      <c r="F41" s="343">
        <f>Inputs_AnnualElectric!C28*10^-6</f>
        <v>253.74145999999999</v>
      </c>
      <c r="G41" s="346">
        <f t="shared" si="5"/>
        <v>0</v>
      </c>
      <c r="H41" s="279">
        <f t="shared" si="6"/>
        <v>480.24727074601969</v>
      </c>
      <c r="I41" s="77"/>
      <c r="J41" s="10">
        <v>2027</v>
      </c>
      <c r="K41" s="7">
        <f>C41*RefTables!$O151</f>
        <v>15.228800504361317</v>
      </c>
      <c r="L41" s="4">
        <f>D41*RefTables!$O151</f>
        <v>-1.6782154762245118</v>
      </c>
      <c r="M41" s="4">
        <f>E41*RefTables!$O151</f>
        <v>-1.5982830034125213</v>
      </c>
      <c r="N41" s="343">
        <f>Inputs_AnnualElectric!D28*10^-6</f>
        <v>16.845592665504864</v>
      </c>
      <c r="O41" s="346">
        <f>O20*RefTables!I177/1000</f>
        <v>0</v>
      </c>
      <c r="P41" s="343">
        <f t="shared" si="7"/>
        <v>28.797894690229146</v>
      </c>
      <c r="Q41" s="7" t="s">
        <v>561</v>
      </c>
      <c r="R41" s="359" t="s">
        <v>561</v>
      </c>
    </row>
    <row r="42" spans="2:18" x14ac:dyDescent="0.35">
      <c r="B42" s="10">
        <v>2028</v>
      </c>
      <c r="C42" s="7">
        <f>RefTables!C36/1000+(RefTables!$F$49*RefTables!$F$57/RefTables!E36)*10^-6</f>
        <v>290.01202973791362</v>
      </c>
      <c r="D42" s="111">
        <f>-Inputs_SupplyCurve!X22*10^-6</f>
        <v>-32.222571702737888</v>
      </c>
      <c r="E42" s="111">
        <f>-(Inputs_SupplyCurve!Y22+Inputs_SupplyCurve!Z22)*10^-6-RefTables!C297</f>
        <v>-31.686396820455421</v>
      </c>
      <c r="F42" s="343">
        <f>Inputs_AnnualElectric!C29*10^-6</f>
        <v>269.96679</v>
      </c>
      <c r="G42" s="346">
        <f t="shared" si="5"/>
        <v>0</v>
      </c>
      <c r="H42" s="279">
        <f t="shared" si="6"/>
        <v>496.0698512147203</v>
      </c>
      <c r="I42" s="77"/>
      <c r="J42" s="10">
        <v>2028</v>
      </c>
      <c r="K42" s="7">
        <f>C42*RefTables!$O152</f>
        <v>15.322748535150183</v>
      </c>
      <c r="L42" s="4">
        <f>D42*RefTables!$O152</f>
        <v>-1.7024754587011246</v>
      </c>
      <c r="M42" s="4">
        <f>E42*RefTables!$O152</f>
        <v>-1.6741467273050423</v>
      </c>
      <c r="N42" s="343">
        <f>Inputs_AnnualElectric!D29*10^-6</f>
        <v>16.960055051864636</v>
      </c>
      <c r="O42" s="346">
        <f>O21*RefTables!I178/1000</f>
        <v>0</v>
      </c>
      <c r="P42" s="343">
        <f t="shared" si="7"/>
        <v>28.906181401008652</v>
      </c>
      <c r="Q42" s="7" t="s">
        <v>561</v>
      </c>
      <c r="R42" s="359" t="s">
        <v>561</v>
      </c>
    </row>
    <row r="43" spans="2:18" x14ac:dyDescent="0.35">
      <c r="B43" s="10">
        <v>2029</v>
      </c>
      <c r="C43" s="7">
        <f>RefTables!C37/1000+(RefTables!$F$49*RefTables!$F$57/RefTables!E37)*10^-6</f>
        <v>291.43301651455999</v>
      </c>
      <c r="D43" s="111">
        <f>-Inputs_SupplyCurve!X23*10^-6</f>
        <v>-32.385060664157564</v>
      </c>
      <c r="E43" s="111">
        <f>-(Inputs_SupplyCurve!Y23+Inputs_SupplyCurve!Z23)*10^-6-RefTables!C298</f>
        <v>-33.084035312961248</v>
      </c>
      <c r="F43" s="343">
        <f>Inputs_AnnualElectric!C30*10^-6</f>
        <v>274.44067999999999</v>
      </c>
      <c r="G43" s="346">
        <f t="shared" si="5"/>
        <v>0</v>
      </c>
      <c r="H43" s="279">
        <f t="shared" si="6"/>
        <v>500.40460053744118</v>
      </c>
      <c r="I43" s="77"/>
      <c r="J43" s="10">
        <v>2029</v>
      </c>
      <c r="K43" s="7">
        <f>C43*RefTables!$O153</f>
        <v>15.419922484150035</v>
      </c>
      <c r="L43" s="4">
        <f>D43*RefTables!$O153</f>
        <v>-1.7135159600588952</v>
      </c>
      <c r="M43" s="4">
        <f>E43*RefTables!$O153</f>
        <v>-1.7504991921986219</v>
      </c>
      <c r="N43" s="343">
        <f>Inputs_AnnualElectric!D30*10^-6</f>
        <v>17.298721330276511</v>
      </c>
      <c r="O43" s="346">
        <f>O22*RefTables!I179/1000</f>
        <v>0</v>
      </c>
      <c r="P43" s="343">
        <f t="shared" si="7"/>
        <v>29.254628662169029</v>
      </c>
      <c r="Q43" s="7" t="s">
        <v>561</v>
      </c>
      <c r="R43" s="359" t="s">
        <v>561</v>
      </c>
    </row>
    <row r="44" spans="2:18" ht="19.5" customHeight="1" thickBot="1" x14ac:dyDescent="0.4">
      <c r="B44" s="11">
        <v>2030</v>
      </c>
      <c r="C44" s="12">
        <f>RefTables!C38/1000+(RefTables!$F$49*RefTables!$F$57/RefTables!E38)*10^-6</f>
        <v>292.86110822508959</v>
      </c>
      <c r="D44" s="112">
        <f>-Inputs_SupplyCurve!X24*10^-6</f>
        <v>-32.476279534409336</v>
      </c>
      <c r="E44" s="112">
        <f>-(Inputs_SupplyCurve!Y24+Inputs_SupplyCurve!Z24)*10^-6-RefTables!C299</f>
        <v>-34.481673805467061</v>
      </c>
      <c r="F44" s="344">
        <f>Inputs_AnnualElectric!C31*10^-6</f>
        <v>260.96051999999997</v>
      </c>
      <c r="G44" s="347">
        <f t="shared" si="5"/>
        <v>0</v>
      </c>
      <c r="H44" s="280">
        <f t="shared" si="6"/>
        <v>486.86367488521319</v>
      </c>
      <c r="I44" s="77"/>
      <c r="J44" s="11">
        <v>2030</v>
      </c>
      <c r="K44" s="12">
        <f>C44*RefTables!$O154</f>
        <v>15.520942419121136</v>
      </c>
      <c r="L44" s="13">
        <f>D44*RefTables!$O154</f>
        <v>-1.7211655985861838</v>
      </c>
      <c r="M44" s="13">
        <f>E44*RefTables!$O154</f>
        <v>-1.8274467268567207</v>
      </c>
      <c r="N44" s="344">
        <f>Inputs_AnnualElectric!D31*10^-6</f>
        <v>16.974073056755458</v>
      </c>
      <c r="O44" s="347">
        <f>O23*RefTables!I180/1000</f>
        <v>0</v>
      </c>
      <c r="P44" s="239">
        <f t="shared" si="7"/>
        <v>28.946403150433689</v>
      </c>
      <c r="Q44" s="12">
        <f>RefTables!$G$227</f>
        <v>18.676721162166132</v>
      </c>
      <c r="R44" s="361" t="str">
        <f>IF(P44&lt;=Q44,"Yes","No")</f>
        <v>No</v>
      </c>
    </row>
    <row r="45" spans="2:18" ht="18" thickBot="1" x14ac:dyDescent="0.4">
      <c r="C45" s="184"/>
      <c r="D45" s="184"/>
      <c r="E45" s="184"/>
      <c r="F45" s="184"/>
      <c r="H45" s="184"/>
    </row>
    <row r="46" spans="2:18" ht="19.5" customHeight="1" x14ac:dyDescent="0.4">
      <c r="B46" s="444" t="s">
        <v>266</v>
      </c>
      <c r="C46" s="448" t="s">
        <v>438</v>
      </c>
      <c r="D46" s="449"/>
      <c r="E46" s="449"/>
      <c r="F46" s="449"/>
      <c r="G46" s="449"/>
      <c r="H46" s="449"/>
      <c r="I46" s="449"/>
      <c r="J46" s="449"/>
      <c r="K46" s="449"/>
      <c r="L46" s="450"/>
      <c r="M46" s="448" t="s">
        <v>439</v>
      </c>
      <c r="N46" s="449"/>
      <c r="O46" s="449"/>
      <c r="P46" s="450"/>
      <c r="Q46" s="442" t="s">
        <v>426</v>
      </c>
    </row>
    <row r="47" spans="2:18" ht="52.5" thickBot="1" x14ac:dyDescent="0.4">
      <c r="B47" s="445"/>
      <c r="C47" s="151" t="s">
        <v>456</v>
      </c>
      <c r="D47" s="152" t="s">
        <v>425</v>
      </c>
      <c r="E47" s="152" t="s">
        <v>424</v>
      </c>
      <c r="F47" s="152" t="s">
        <v>349</v>
      </c>
      <c r="G47" s="152" t="s">
        <v>329</v>
      </c>
      <c r="H47" s="152" t="s">
        <v>328</v>
      </c>
      <c r="I47" s="152" t="s">
        <v>267</v>
      </c>
      <c r="J47" s="152" t="s">
        <v>107</v>
      </c>
      <c r="K47" s="152" t="s">
        <v>106</v>
      </c>
      <c r="L47" s="152" t="s">
        <v>1</v>
      </c>
      <c r="M47" s="151" t="s">
        <v>20</v>
      </c>
      <c r="N47" s="152" t="s">
        <v>429</v>
      </c>
      <c r="O47" s="152" t="s">
        <v>430</v>
      </c>
      <c r="P47" s="153" t="s">
        <v>1</v>
      </c>
      <c r="Q47" s="443"/>
    </row>
    <row r="48" spans="2:18" x14ac:dyDescent="0.35">
      <c r="B48" s="9">
        <v>2015</v>
      </c>
      <c r="C48" s="286">
        <f>(C29+SUM(D29:E29))*RefTables!$G189</f>
        <v>873.07298178946098</v>
      </c>
      <c r="D48" s="283">
        <f>Inputs_SupplyCurve!H9</f>
        <v>137.59396913152196</v>
      </c>
      <c r="E48" s="283">
        <f>Inputs_SupplyCurve!K9</f>
        <v>506.56634289154363</v>
      </c>
      <c r="F48" s="283">
        <f>Inputs_SupplyCurve!L9</f>
        <v>97.003539999999987</v>
      </c>
      <c r="G48" s="283">
        <f>SUMIFS(PriceSpikes!$K$7:$K$198,PriceSpikes!$B$7:$B$198,B48)</f>
        <v>0</v>
      </c>
      <c r="H48" s="283">
        <f>BalancingMeasures!$M$15*S8*10^-6</f>
        <v>0</v>
      </c>
      <c r="I48" s="283">
        <f>Inputs_AnnualElectric!E16</f>
        <v>2181.4164934705391</v>
      </c>
      <c r="J48" s="283">
        <f>T8*BalancingMeasures!$I$10*10^-6</f>
        <v>0.252</v>
      </c>
      <c r="K48" s="283">
        <f>U8*BalancingMeasures!$J$9/1000</f>
        <v>12.051</v>
      </c>
      <c r="L48" s="283">
        <f t="shared" ref="L48:L63" si="8">SUM(C48:K48)</f>
        <v>3807.9563272830655</v>
      </c>
      <c r="M48" s="286">
        <f>Inputs_SupplyCurve!I9</f>
        <v>0</v>
      </c>
      <c r="N48" s="283">
        <f>Inputs_SupplyCurve!J9</f>
        <v>0</v>
      </c>
      <c r="O48" s="283"/>
      <c r="P48" s="18">
        <f>SUM(M48:O48)</f>
        <v>0</v>
      </c>
      <c r="Q48" s="265"/>
      <c r="R48" s="83"/>
    </row>
    <row r="49" spans="2:18" x14ac:dyDescent="0.35">
      <c r="B49" s="10">
        <v>2016</v>
      </c>
      <c r="C49" s="287">
        <f>(C30+SUM(D30:E30))*RefTables!$G190</f>
        <v>971.01704997779871</v>
      </c>
      <c r="D49" s="284">
        <f>Inputs_SupplyCurve!H10</f>
        <v>158.43774250624335</v>
      </c>
      <c r="E49" s="284">
        <f>Inputs_SupplyCurve!K10</f>
        <v>577.06381397490384</v>
      </c>
      <c r="F49" s="284">
        <f>Inputs_SupplyCurve!L10</f>
        <v>0</v>
      </c>
      <c r="G49" s="284">
        <f>SUMIFS(PriceSpikes!$K$7:$K$198,PriceSpikes!$B$7:$B$198,B49)</f>
        <v>-4.3963514292003888E-2</v>
      </c>
      <c r="H49" s="284">
        <f>BalancingMeasures!$M$15*S9*10^-6</f>
        <v>0</v>
      </c>
      <c r="I49" s="284">
        <f>Inputs_AnnualElectric!E17</f>
        <v>2300.3888023554255</v>
      </c>
      <c r="J49" s="284">
        <f>T9*BalancingMeasures!$I$10*10^-6</f>
        <v>0</v>
      </c>
      <c r="K49" s="284">
        <f>U9*BalancingMeasures!$J$9/1000</f>
        <v>0</v>
      </c>
      <c r="L49" s="284">
        <f t="shared" si="8"/>
        <v>4006.8634453000795</v>
      </c>
      <c r="M49" s="287">
        <f>Inputs_SupplyCurve!I10</f>
        <v>0</v>
      </c>
      <c r="N49" s="284">
        <f>Inputs_SupplyCurve!J10</f>
        <v>0</v>
      </c>
      <c r="O49" s="284"/>
      <c r="P49" s="19">
        <f t="shared" ref="P49:P63" si="9">SUM(M49:O49)</f>
        <v>0</v>
      </c>
      <c r="Q49" s="266"/>
      <c r="R49" s="83"/>
    </row>
    <row r="50" spans="2:18" x14ac:dyDescent="0.35">
      <c r="B50" s="10">
        <v>2017</v>
      </c>
      <c r="C50" s="287">
        <f>(C31+SUM(D31:E31))*RefTables!$G191</f>
        <v>1024.4802378327197</v>
      </c>
      <c r="D50" s="284">
        <f>Inputs_SupplyCurve!H11</f>
        <v>181.09848073679791</v>
      </c>
      <c r="E50" s="284">
        <f>Inputs_SupplyCurve!K11</f>
        <v>641.34409344592439</v>
      </c>
      <c r="F50" s="284">
        <f>Inputs_SupplyCurve!L11</f>
        <v>0</v>
      </c>
      <c r="G50" s="284">
        <f>SUMIFS(PriceSpikes!$K$7:$K$198,PriceSpikes!$B$7:$B$198,B50)</f>
        <v>0</v>
      </c>
      <c r="H50" s="284">
        <f>BalancingMeasures!$M$15*S10*10^-6</f>
        <v>0</v>
      </c>
      <c r="I50" s="284">
        <f>Inputs_AnnualElectric!E18</f>
        <v>2238.9522640752789</v>
      </c>
      <c r="J50" s="284">
        <f>T10*BalancingMeasures!$I$10*10^-6</f>
        <v>0</v>
      </c>
      <c r="K50" s="284">
        <f>U10*BalancingMeasures!$J$9/1000</f>
        <v>0</v>
      </c>
      <c r="L50" s="284">
        <f t="shared" si="8"/>
        <v>4085.875076090721</v>
      </c>
      <c r="M50" s="287">
        <f>Inputs_SupplyCurve!I11</f>
        <v>0</v>
      </c>
      <c r="N50" s="284">
        <f>Inputs_SupplyCurve!J11</f>
        <v>0</v>
      </c>
      <c r="O50" s="284"/>
      <c r="P50" s="19">
        <f t="shared" si="9"/>
        <v>0</v>
      </c>
      <c r="Q50" s="266"/>
      <c r="R50" s="83"/>
    </row>
    <row r="51" spans="2:18" x14ac:dyDescent="0.35">
      <c r="B51" s="10">
        <v>2018</v>
      </c>
      <c r="C51" s="287">
        <f>(C32+SUM(D32:E32))*RefTables!$G192</f>
        <v>1116.585969414366</v>
      </c>
      <c r="D51" s="284">
        <f>Inputs_SupplyCurve!H12</f>
        <v>198.9677444287926</v>
      </c>
      <c r="E51" s="284">
        <f>Inputs_SupplyCurve!K12</f>
        <v>694.85393021720154</v>
      </c>
      <c r="F51" s="284">
        <f>Inputs_SupplyCurve!L12</f>
        <v>0</v>
      </c>
      <c r="G51" s="284">
        <f>SUMIFS(PriceSpikes!$K$7:$K$198,PriceSpikes!$B$7:$B$198,B51)</f>
        <v>0</v>
      </c>
      <c r="H51" s="284">
        <f>BalancingMeasures!$M$15*S11*10^-6</f>
        <v>0</v>
      </c>
      <c r="I51" s="284">
        <f>Inputs_AnnualElectric!E19</f>
        <v>2290.2390661060663</v>
      </c>
      <c r="J51" s="284">
        <f>T11*BalancingMeasures!$I$10*10^-6</f>
        <v>0</v>
      </c>
      <c r="K51" s="284">
        <f>U11*BalancingMeasures!$J$9/1000</f>
        <v>0</v>
      </c>
      <c r="L51" s="284">
        <f t="shared" si="8"/>
        <v>4300.6467101664266</v>
      </c>
      <c r="M51" s="287">
        <f>Inputs_SupplyCurve!I12</f>
        <v>0</v>
      </c>
      <c r="N51" s="284">
        <f>Inputs_SupplyCurve!J12</f>
        <v>0</v>
      </c>
      <c r="O51" s="284"/>
      <c r="P51" s="19">
        <f t="shared" si="9"/>
        <v>0</v>
      </c>
      <c r="Q51" s="266"/>
      <c r="R51" s="83"/>
    </row>
    <row r="52" spans="2:18" x14ac:dyDescent="0.35">
      <c r="B52" s="10">
        <v>2019</v>
      </c>
      <c r="C52" s="287">
        <f>(C33+SUM(D33:E33))*RefTables!$G193</f>
        <v>1085.0984951626006</v>
      </c>
      <c r="D52" s="284">
        <f>Inputs_SupplyCurve!H13</f>
        <v>214.92552307387393</v>
      </c>
      <c r="E52" s="284">
        <f>Inputs_SupplyCurve!K13</f>
        <v>737.26790181654087</v>
      </c>
      <c r="F52" s="284">
        <f>Inputs_SupplyCurve!L13</f>
        <v>0</v>
      </c>
      <c r="G52" s="284">
        <f>SUMIFS(PriceSpikes!$K$7:$K$198,PriceSpikes!$B$7:$B$198,B52)</f>
        <v>0</v>
      </c>
      <c r="H52" s="284">
        <f>BalancingMeasures!$M$15*S12*10^-6</f>
        <v>0</v>
      </c>
      <c r="I52" s="284">
        <f>Inputs_AnnualElectric!E20</f>
        <v>2272.0285205846185</v>
      </c>
      <c r="J52" s="284">
        <f>T12*BalancingMeasures!$I$10*10^-6</f>
        <v>0</v>
      </c>
      <c r="K52" s="284">
        <f>U12*BalancingMeasures!$J$9/1000</f>
        <v>0</v>
      </c>
      <c r="L52" s="284">
        <f t="shared" si="8"/>
        <v>4309.3204406376335</v>
      </c>
      <c r="M52" s="287">
        <f>Inputs_SupplyCurve!I13</f>
        <v>0</v>
      </c>
      <c r="N52" s="284">
        <f>Inputs_SupplyCurve!J13</f>
        <v>0</v>
      </c>
      <c r="O52" s="284"/>
      <c r="P52" s="19">
        <f t="shared" si="9"/>
        <v>0</v>
      </c>
      <c r="Q52" s="266"/>
      <c r="R52" s="83"/>
    </row>
    <row r="53" spans="2:18" x14ac:dyDescent="0.35">
      <c r="B53" s="10">
        <v>2020</v>
      </c>
      <c r="C53" s="287">
        <f>(C34+SUM(D34:E34))*RefTables!$G194</f>
        <v>1012.8913287739057</v>
      </c>
      <c r="D53" s="284">
        <f>Inputs_SupplyCurve!H14</f>
        <v>231.85768764325491</v>
      </c>
      <c r="E53" s="284">
        <f>Inputs_SupplyCurve!K14</f>
        <v>775.41497120454073</v>
      </c>
      <c r="F53" s="284">
        <f>Inputs_SupplyCurve!L14</f>
        <v>0</v>
      </c>
      <c r="G53" s="284">
        <f>SUMIFS(PriceSpikes!$K$7:$K$198,PriceSpikes!$B$7:$B$198,B53)</f>
        <v>-3478.935003734111</v>
      </c>
      <c r="H53" s="284">
        <f>BalancingMeasures!$M$15*S13*10^-6</f>
        <v>39.752446811392026</v>
      </c>
      <c r="I53" s="284">
        <f>Inputs_AnnualElectric!E21</f>
        <v>2088.6841963391303</v>
      </c>
      <c r="J53" s="284">
        <f>T13*BalancingMeasures!$I$10*10^-6</f>
        <v>0</v>
      </c>
      <c r="K53" s="284">
        <f>U13*BalancingMeasures!$J$9/1000</f>
        <v>0</v>
      </c>
      <c r="L53" s="284">
        <f t="shared" si="8"/>
        <v>669.66562703811269</v>
      </c>
      <c r="M53" s="287">
        <f>Inputs_SupplyCurve!I14</f>
        <v>0</v>
      </c>
      <c r="N53" s="284">
        <f>Inputs_SupplyCurve!J14</f>
        <v>0</v>
      </c>
      <c r="O53" s="284"/>
      <c r="P53" s="19">
        <f t="shared" si="9"/>
        <v>0</v>
      </c>
      <c r="Q53" s="266"/>
      <c r="R53" s="83"/>
    </row>
    <row r="54" spans="2:18" x14ac:dyDescent="0.35">
      <c r="B54" s="10">
        <v>2021</v>
      </c>
      <c r="C54" s="287">
        <f>(C35+SUM(D35:E35))*RefTables!$G195</f>
        <v>1068.9978977048961</v>
      </c>
      <c r="D54" s="284">
        <f>Inputs_SupplyCurve!H15</f>
        <v>243.54789353844251</v>
      </c>
      <c r="E54" s="284">
        <f>Inputs_SupplyCurve!K15</f>
        <v>810.82718747828085</v>
      </c>
      <c r="F54" s="284">
        <f>Inputs_SupplyCurve!L15</f>
        <v>0</v>
      </c>
      <c r="G54" s="284">
        <f>SUMIFS(PriceSpikes!$K$7:$K$198,PriceSpikes!$B$7:$B$198,B54)</f>
        <v>-3430.4046115732012</v>
      </c>
      <c r="H54" s="284">
        <f>BalancingMeasures!$M$15*S14*10^-6</f>
        <v>39.752446811392026</v>
      </c>
      <c r="I54" s="284">
        <f>Inputs_AnnualElectric!E22</f>
        <v>2126.8356646543634</v>
      </c>
      <c r="J54" s="284">
        <f>T14*BalancingMeasures!$I$10*10^-6</f>
        <v>0</v>
      </c>
      <c r="K54" s="284">
        <f>U14*BalancingMeasures!$J$9/1000</f>
        <v>0</v>
      </c>
      <c r="L54" s="284">
        <f t="shared" si="8"/>
        <v>859.55647861417356</v>
      </c>
      <c r="M54" s="287">
        <f>Inputs_SupplyCurve!I15</f>
        <v>0</v>
      </c>
      <c r="N54" s="284">
        <f>Inputs_SupplyCurve!J15</f>
        <v>0</v>
      </c>
      <c r="O54" s="284"/>
      <c r="P54" s="19">
        <f t="shared" si="9"/>
        <v>0</v>
      </c>
      <c r="Q54" s="266"/>
      <c r="R54" s="83"/>
    </row>
    <row r="55" spans="2:18" x14ac:dyDescent="0.35">
      <c r="B55" s="10">
        <v>2022</v>
      </c>
      <c r="C55" s="287">
        <f>(C36+SUM(D36:E36))*RefTables!$G196</f>
        <v>1097.784121145035</v>
      </c>
      <c r="D55" s="284">
        <f>Inputs_SupplyCurve!H16</f>
        <v>253.2699316532761</v>
      </c>
      <c r="E55" s="284">
        <f>Inputs_SupplyCurve!K16</f>
        <v>843.92849446737682</v>
      </c>
      <c r="F55" s="284">
        <f>Inputs_SupplyCurve!L16</f>
        <v>0</v>
      </c>
      <c r="G55" s="284">
        <f>SUMIFS(PriceSpikes!$K$7:$K$198,PriceSpikes!$B$7:$B$198,B55)</f>
        <v>-3320.5341820563826</v>
      </c>
      <c r="H55" s="284">
        <f>BalancingMeasures!$M$15*S15*10^-6</f>
        <v>39.752446811392026</v>
      </c>
      <c r="I55" s="284">
        <f>Inputs_AnnualElectric!E23</f>
        <v>2203.7344256112597</v>
      </c>
      <c r="J55" s="284">
        <f>T15*BalancingMeasures!$I$10*10^-6</f>
        <v>0</v>
      </c>
      <c r="K55" s="284">
        <f>U15*BalancingMeasures!$J$9/1000</f>
        <v>0</v>
      </c>
      <c r="L55" s="284">
        <f t="shared" si="8"/>
        <v>1117.9352376319571</v>
      </c>
      <c r="M55" s="287">
        <f>Inputs_SupplyCurve!I16</f>
        <v>0</v>
      </c>
      <c r="N55" s="284">
        <f>Inputs_SupplyCurve!J16</f>
        <v>0</v>
      </c>
      <c r="O55" s="284"/>
      <c r="P55" s="19">
        <f t="shared" si="9"/>
        <v>0</v>
      </c>
      <c r="Q55" s="266"/>
      <c r="R55" s="83"/>
    </row>
    <row r="56" spans="2:18" x14ac:dyDescent="0.35">
      <c r="B56" s="10">
        <v>2023</v>
      </c>
      <c r="C56" s="287">
        <f>(C37+SUM(D37:E37))*RefTables!$G197</f>
        <v>1125.49851472866</v>
      </c>
      <c r="D56" s="284">
        <f>Inputs_SupplyCurve!H17</f>
        <v>256.83105657853571</v>
      </c>
      <c r="E56" s="284">
        <f>Inputs_SupplyCurve!K17</f>
        <v>874.35589254029105</v>
      </c>
      <c r="F56" s="284">
        <f>Inputs_SupplyCurve!L17</f>
        <v>0</v>
      </c>
      <c r="G56" s="284">
        <f>SUMIFS(PriceSpikes!$K$7:$K$198,PriceSpikes!$B$7:$B$198,B56)</f>
        <v>-3326.6961369673627</v>
      </c>
      <c r="H56" s="284">
        <f>BalancingMeasures!$M$15*S16*10^-6</f>
        <v>39.752446811392026</v>
      </c>
      <c r="I56" s="284">
        <f>Inputs_AnnualElectric!E24</f>
        <v>2287.1278502095797</v>
      </c>
      <c r="J56" s="284">
        <f>T16*BalancingMeasures!$I$10*10^-6</f>
        <v>0</v>
      </c>
      <c r="K56" s="284">
        <f>U16*BalancingMeasures!$J$9/1000</f>
        <v>0</v>
      </c>
      <c r="L56" s="284">
        <f t="shared" si="8"/>
        <v>1256.869623901096</v>
      </c>
      <c r="M56" s="287">
        <f>Inputs_SupplyCurve!I17</f>
        <v>0</v>
      </c>
      <c r="N56" s="284">
        <f>Inputs_SupplyCurve!J17</f>
        <v>0</v>
      </c>
      <c r="O56" s="284"/>
      <c r="P56" s="19">
        <f t="shared" si="9"/>
        <v>0</v>
      </c>
      <c r="Q56" s="266"/>
      <c r="R56" s="83"/>
    </row>
    <row r="57" spans="2:18" x14ac:dyDescent="0.35">
      <c r="B57" s="10">
        <v>2024</v>
      </c>
      <c r="C57" s="287">
        <f>(C38+SUM(D38:E38))*RefTables!$G198</f>
        <v>1162.2952565614569</v>
      </c>
      <c r="D57" s="284">
        <f>Inputs_SupplyCurve!H18</f>
        <v>263.02625287481254</v>
      </c>
      <c r="E57" s="284">
        <f>Inputs_SupplyCurve!K18</f>
        <v>900.95296614242363</v>
      </c>
      <c r="F57" s="284">
        <f>Inputs_SupplyCurve!L18</f>
        <v>0</v>
      </c>
      <c r="G57" s="284">
        <f>SUMIFS(PriceSpikes!$K$7:$K$198,PriceSpikes!$B$7:$B$198,B57)</f>
        <v>-3481.1248105583081</v>
      </c>
      <c r="H57" s="284">
        <f>BalancingMeasures!$M$15*S17*10^-6</f>
        <v>39.752446811392026</v>
      </c>
      <c r="I57" s="284">
        <f>Inputs_AnnualElectric!E25</f>
        <v>2334.4397348358907</v>
      </c>
      <c r="J57" s="284">
        <f>T17*BalancingMeasures!$I$10*10^-6</f>
        <v>0</v>
      </c>
      <c r="K57" s="284">
        <f>U17*BalancingMeasures!$J$9/1000</f>
        <v>0</v>
      </c>
      <c r="L57" s="284">
        <f t="shared" si="8"/>
        <v>1219.3418466676676</v>
      </c>
      <c r="M57" s="287">
        <f>Inputs_SupplyCurve!I18</f>
        <v>0</v>
      </c>
      <c r="N57" s="284">
        <f>Inputs_SupplyCurve!J18</f>
        <v>0</v>
      </c>
      <c r="O57" s="284"/>
      <c r="P57" s="19">
        <f t="shared" si="9"/>
        <v>0</v>
      </c>
      <c r="Q57" s="266"/>
      <c r="R57" s="83"/>
    </row>
    <row r="58" spans="2:18" x14ac:dyDescent="0.35">
      <c r="B58" s="10">
        <v>2025</v>
      </c>
      <c r="C58" s="287">
        <f>(C39+SUM(D39:E39))*RefTables!$G199</f>
        <v>1179.6405349758677</v>
      </c>
      <c r="D58" s="284">
        <f>Inputs_SupplyCurve!H19</f>
        <v>268.62222782421975</v>
      </c>
      <c r="E58" s="284">
        <f>Inputs_SupplyCurve!K19</f>
        <v>923.22485013311757</v>
      </c>
      <c r="F58" s="284">
        <f>Inputs_SupplyCurve!L19</f>
        <v>97.003539999999987</v>
      </c>
      <c r="G58" s="284">
        <f>SUMIFS(PriceSpikes!$K$7:$K$198,PriceSpikes!$B$7:$B$198,B58)</f>
        <v>-3440.0273792678959</v>
      </c>
      <c r="H58" s="284">
        <f>BalancingMeasures!$M$15*S18*10^-6</f>
        <v>39.752446811392026</v>
      </c>
      <c r="I58" s="284">
        <f>Inputs_AnnualElectric!E26</f>
        <v>2403.0599344367647</v>
      </c>
      <c r="J58" s="284">
        <f>T18*BalancingMeasures!$I$10*10^-6</f>
        <v>0</v>
      </c>
      <c r="K58" s="284">
        <f>U18*BalancingMeasures!$J$9/1000</f>
        <v>0</v>
      </c>
      <c r="L58" s="284">
        <f t="shared" si="8"/>
        <v>1471.2761549134661</v>
      </c>
      <c r="M58" s="287">
        <f>Inputs_SupplyCurve!I19</f>
        <v>0</v>
      </c>
      <c r="N58" s="284">
        <f>Inputs_SupplyCurve!J19</f>
        <v>0</v>
      </c>
      <c r="O58" s="284"/>
      <c r="P58" s="19">
        <f t="shared" si="9"/>
        <v>0</v>
      </c>
      <c r="Q58" s="266"/>
      <c r="R58" s="83"/>
    </row>
    <row r="59" spans="2:18" x14ac:dyDescent="0.35">
      <c r="B59" s="10">
        <v>2026</v>
      </c>
      <c r="C59" s="287">
        <f>(C40+SUM(D40:E40))*RefTables!$G200</f>
        <v>1204.6255463460377</v>
      </c>
      <c r="D59" s="284">
        <f>Inputs_SupplyCurve!H20</f>
        <v>273.62999673558346</v>
      </c>
      <c r="E59" s="284">
        <f>Inputs_SupplyCurve!K20</f>
        <v>942.80020728443492</v>
      </c>
      <c r="F59" s="284">
        <f>Inputs_SupplyCurve!L20</f>
        <v>0</v>
      </c>
      <c r="G59" s="284">
        <f>SUMIFS(PriceSpikes!$K$7:$K$198,PriceSpikes!$B$7:$B$198,B59)</f>
        <v>-3459.7462355513067</v>
      </c>
      <c r="H59" s="284">
        <f>BalancingMeasures!$M$15*S19*10^-6</f>
        <v>39.752446811392026</v>
      </c>
      <c r="I59" s="284">
        <f>Inputs_AnnualElectric!E27</f>
        <v>2483.6761465590157</v>
      </c>
      <c r="J59" s="284">
        <f>T19*BalancingMeasures!$I$10*10^-6</f>
        <v>0</v>
      </c>
      <c r="K59" s="284">
        <f>U19*BalancingMeasures!$J$9/1000</f>
        <v>0</v>
      </c>
      <c r="L59" s="284">
        <f t="shared" si="8"/>
        <v>1484.7381081851572</v>
      </c>
      <c r="M59" s="287">
        <f>Inputs_SupplyCurve!I20</f>
        <v>0</v>
      </c>
      <c r="N59" s="284">
        <f>Inputs_SupplyCurve!J20</f>
        <v>0</v>
      </c>
      <c r="O59" s="284"/>
      <c r="P59" s="19">
        <f t="shared" si="9"/>
        <v>0</v>
      </c>
      <c r="Q59" s="266"/>
      <c r="R59" s="83"/>
    </row>
    <row r="60" spans="2:18" x14ac:dyDescent="0.35">
      <c r="B60" s="10">
        <v>2027</v>
      </c>
      <c r="C60" s="287">
        <f>(C41+SUM(D41:E41))*RefTables!$G201</f>
        <v>1231.0897290165635</v>
      </c>
      <c r="D60" s="284">
        <f>Inputs_SupplyCurve!H21</f>
        <v>277.25964359835592</v>
      </c>
      <c r="E60" s="284">
        <f>Inputs_SupplyCurve!K21</f>
        <v>961.46180313298669</v>
      </c>
      <c r="F60" s="284">
        <f>Inputs_SupplyCurve!L21</f>
        <v>0</v>
      </c>
      <c r="G60" s="284">
        <f>SUMIFS(PriceSpikes!$K$7:$K$198,PriceSpikes!$B$7:$B$198,B60)</f>
        <v>-3477.4368437049698</v>
      </c>
      <c r="H60" s="284">
        <f>BalancingMeasures!$M$15*S20*10^-6</f>
        <v>39.752446811392026</v>
      </c>
      <c r="I60" s="284">
        <f>Inputs_AnnualElectric!E28</f>
        <v>2546.022589859916</v>
      </c>
      <c r="J60" s="284">
        <f>T20*BalancingMeasures!$I$10*10^-6</f>
        <v>0</v>
      </c>
      <c r="K60" s="284">
        <f>U20*BalancingMeasures!$J$9/1000</f>
        <v>0</v>
      </c>
      <c r="L60" s="284">
        <f t="shared" si="8"/>
        <v>1578.1493687142447</v>
      </c>
      <c r="M60" s="287">
        <f>Inputs_SupplyCurve!I21</f>
        <v>0</v>
      </c>
      <c r="N60" s="284">
        <f>Inputs_SupplyCurve!J21</f>
        <v>0</v>
      </c>
      <c r="O60" s="284"/>
      <c r="P60" s="19">
        <f t="shared" si="9"/>
        <v>0</v>
      </c>
      <c r="Q60" s="266"/>
      <c r="R60" s="83"/>
    </row>
    <row r="61" spans="2:18" x14ac:dyDescent="0.35">
      <c r="B61" s="10">
        <v>2028</v>
      </c>
      <c r="C61" s="287">
        <f>(C42+SUM(D42:E42))*RefTables!$G202</f>
        <v>1257.8182258113948</v>
      </c>
      <c r="D61" s="284">
        <f>Inputs_SupplyCurve!H22</f>
        <v>280.58520053344989</v>
      </c>
      <c r="E61" s="284">
        <f>Inputs_SupplyCurve!K22</f>
        <v>973.06947549900337</v>
      </c>
      <c r="F61" s="284">
        <f>Inputs_SupplyCurve!L22</f>
        <v>0</v>
      </c>
      <c r="G61" s="284">
        <f>SUMIFS(PriceSpikes!$K$7:$K$198,PriceSpikes!$B$7:$B$198,B61)</f>
        <v>-3578.5774524857043</v>
      </c>
      <c r="H61" s="284">
        <f>BalancingMeasures!$M$15*S21*10^-6</f>
        <v>44.721502662816029</v>
      </c>
      <c r="I61" s="284">
        <f>Inputs_AnnualElectric!E29</f>
        <v>2652.7945452809304</v>
      </c>
      <c r="J61" s="284">
        <f>T21*BalancingMeasures!$I$10*10^-6</f>
        <v>0</v>
      </c>
      <c r="K61" s="284">
        <f>U21*BalancingMeasures!$J$9/1000</f>
        <v>0</v>
      </c>
      <c r="L61" s="284">
        <f t="shared" si="8"/>
        <v>1630.4114973018904</v>
      </c>
      <c r="M61" s="287">
        <f>Inputs_SupplyCurve!I22</f>
        <v>0</v>
      </c>
      <c r="N61" s="284">
        <f>Inputs_SupplyCurve!J22</f>
        <v>0</v>
      </c>
      <c r="O61" s="284"/>
      <c r="P61" s="19">
        <f t="shared" si="9"/>
        <v>0</v>
      </c>
      <c r="Q61" s="266"/>
      <c r="R61" s="83"/>
    </row>
    <row r="62" spans="2:18" x14ac:dyDescent="0.35">
      <c r="B62" s="10">
        <v>2029</v>
      </c>
      <c r="C62" s="287">
        <f>(C43+SUM(D43:E43))*RefTables!$G203</f>
        <v>1292.774634289445</v>
      </c>
      <c r="D62" s="284">
        <f>Inputs_SupplyCurve!H23</f>
        <v>282.67154503592951</v>
      </c>
      <c r="E62" s="284">
        <f>Inputs_SupplyCurve!K23</f>
        <v>984.44937356577873</v>
      </c>
      <c r="F62" s="284">
        <f>Inputs_SupplyCurve!L23</f>
        <v>0</v>
      </c>
      <c r="G62" s="284">
        <f>SUMIFS(PriceSpikes!$K$7:$K$198,PriceSpikes!$B$7:$B$198,B62)</f>
        <v>-3597.4172412566404</v>
      </c>
      <c r="H62" s="284">
        <f>BalancingMeasures!$M$15*S22*10^-6</f>
        <v>44.721502662816029</v>
      </c>
      <c r="I62" s="284">
        <f>Inputs_AnnualElectric!E30</f>
        <v>2772.6717643776137</v>
      </c>
      <c r="J62" s="284">
        <f>T22*BalancingMeasures!$I$10*10^-6</f>
        <v>0</v>
      </c>
      <c r="K62" s="284">
        <f>U22*BalancingMeasures!$J$9/1000</f>
        <v>0</v>
      </c>
      <c r="L62" s="284">
        <f t="shared" si="8"/>
        <v>1779.8715786749426</v>
      </c>
      <c r="M62" s="287">
        <f>Inputs_SupplyCurve!I23</f>
        <v>0</v>
      </c>
      <c r="N62" s="284">
        <f>Inputs_SupplyCurve!J23</f>
        <v>0</v>
      </c>
      <c r="O62" s="284"/>
      <c r="P62" s="19">
        <f t="shared" si="9"/>
        <v>0</v>
      </c>
      <c r="Q62" s="266"/>
      <c r="R62" s="83"/>
    </row>
    <row r="63" spans="2:18" ht="18" thickBot="1" x14ac:dyDescent="0.4">
      <c r="B63" s="11">
        <v>2030</v>
      </c>
      <c r="C63" s="288">
        <f>(C44+SUM(D44:E44))*RefTables!$G204</f>
        <v>1350.2784821542507</v>
      </c>
      <c r="D63" s="285">
        <f>Inputs_SupplyCurve!H24</f>
        <v>284.14981944616545</v>
      </c>
      <c r="E63" s="285">
        <f>Inputs_SupplyCurve!K24</f>
        <v>996.63079163297505</v>
      </c>
      <c r="F63" s="285">
        <f>Inputs_SupplyCurve!L24</f>
        <v>0</v>
      </c>
      <c r="G63" s="285">
        <f>SUMIFS(PriceSpikes!$K$7:$K$198,PriceSpikes!$B$7:$B$198,B63)</f>
        <v>-3574.708828957886</v>
      </c>
      <c r="H63" s="285">
        <f>BalancingMeasures!$M$15*S23*10^-6</f>
        <v>44.721502662816029</v>
      </c>
      <c r="I63" s="285">
        <f>Inputs_AnnualElectric!E31</f>
        <v>2854.8936997810042</v>
      </c>
      <c r="J63" s="285">
        <f>T23*BalancingMeasures!$I$10*10^-6</f>
        <v>0</v>
      </c>
      <c r="K63" s="285">
        <f>U23*BalancingMeasures!$J$9/1000</f>
        <v>0</v>
      </c>
      <c r="L63" s="285">
        <f t="shared" si="8"/>
        <v>1955.9654667193254</v>
      </c>
      <c r="M63" s="288">
        <f>Inputs_SupplyCurve!I24</f>
        <v>0</v>
      </c>
      <c r="N63" s="285">
        <f>Inputs_SupplyCurve!J24</f>
        <v>0</v>
      </c>
      <c r="O63" s="285"/>
      <c r="P63" s="20">
        <f t="shared" si="9"/>
        <v>0</v>
      </c>
      <c r="Q63" s="267"/>
      <c r="R63" s="83"/>
    </row>
    <row r="64" spans="2:18" x14ac:dyDescent="0.35">
      <c r="B64" s="76"/>
      <c r="D64" s="184"/>
    </row>
  </sheetData>
  <mergeCells count="22">
    <mergeCell ref="Q46:Q47"/>
    <mergeCell ref="B46:B47"/>
    <mergeCell ref="H6:I6"/>
    <mergeCell ref="C6:E6"/>
    <mergeCell ref="M46:P46"/>
    <mergeCell ref="C46:L46"/>
    <mergeCell ref="L6:P6"/>
    <mergeCell ref="J6:K6"/>
    <mergeCell ref="K27:M27"/>
    <mergeCell ref="F6:G6"/>
    <mergeCell ref="C27:E27"/>
    <mergeCell ref="J27:J28"/>
    <mergeCell ref="B6:B7"/>
    <mergeCell ref="B27:B28"/>
    <mergeCell ref="Q6:R6"/>
    <mergeCell ref="B4:R4"/>
    <mergeCell ref="H27:H28"/>
    <mergeCell ref="P27:P28"/>
    <mergeCell ref="F27:G27"/>
    <mergeCell ref="N27:O27"/>
    <mergeCell ref="B25:R25"/>
    <mergeCell ref="Q27:R27"/>
  </mergeCells>
  <conditionalFormatting sqref="H8:H23">
    <cfRule type="expression" dxfId="32" priority="19">
      <formula>I8&lt;=95%</formula>
    </cfRule>
  </conditionalFormatting>
  <conditionalFormatting sqref="Q8:Q23">
    <cfRule type="expression" dxfId="31" priority="30">
      <formula>R8&lt;=95%</formula>
    </cfRule>
  </conditionalFormatting>
  <conditionalFormatting sqref="P34 R34 R44">
    <cfRule type="expression" dxfId="30" priority="71">
      <formula>$P$34&lt;=#REF!</formula>
    </cfRule>
  </conditionalFormatting>
  <conditionalFormatting sqref="P44">
    <cfRule type="expression" dxfId="29" priority="72">
      <formula>$P$44&lt;=#REF!</formula>
    </cfRule>
  </conditionalFormatting>
  <pageMargins left="0.7" right="0.7" top="0.75" bottom="0.75" header="0.3" footer="0.3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B2:Z64"/>
  <sheetViews>
    <sheetView showGridLines="0" view="pageBreakPreview" zoomScale="70" zoomScaleNormal="70" zoomScaleSheetLayoutView="70" workbookViewId="0">
      <pane ySplit="4" topLeftCell="A5" activePane="bottomLeft" state="frozen"/>
      <selection activeCell="X23" sqref="X23"/>
      <selection pane="bottomLeft" activeCell="X23" sqref="X23"/>
    </sheetView>
  </sheetViews>
  <sheetFormatPr defaultRowHeight="17.25" x14ac:dyDescent="0.35"/>
  <cols>
    <col min="1" max="1" width="2.375" customWidth="1"/>
    <col min="2" max="18" width="13.375" customWidth="1"/>
    <col min="19" max="19" width="11.25" customWidth="1"/>
    <col min="20" max="23" width="10.125" customWidth="1"/>
    <col min="26" max="26" width="10.625" bestFit="1" customWidth="1"/>
    <col min="27" max="27" width="10.25" customWidth="1"/>
    <col min="28" max="28" width="10.625" customWidth="1"/>
  </cols>
  <sheetData>
    <row r="2" spans="2:26" ht="30.75" x14ac:dyDescent="0.6">
      <c r="B2" s="1" t="s">
        <v>370</v>
      </c>
      <c r="R2" s="362" t="str">
        <f>IF(SUM($P$8:$P$23)&lt;&gt;0,"This scenario requires a pipeline.","This scenario does not require a pipeline.")</f>
        <v>This scenario requires a pipeline.</v>
      </c>
      <c r="X2" s="195"/>
      <c r="Y2" s="193">
        <v>5.6000000000000001E-2</v>
      </c>
      <c r="Z2" s="194" t="e">
        <f>Y2/X2</f>
        <v>#DIV/0!</v>
      </c>
    </row>
    <row r="4" spans="2:26" ht="21.75" x14ac:dyDescent="0.45">
      <c r="B4" s="432" t="s">
        <v>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</row>
    <row r="5" spans="2:26" ht="18" thickBot="1" x14ac:dyDescent="0.4">
      <c r="B5" s="2"/>
      <c r="C5" s="75"/>
      <c r="D5" s="184"/>
      <c r="E5" s="184"/>
      <c r="F5" s="184"/>
      <c r="G5" s="184"/>
      <c r="H5" s="184"/>
      <c r="I5" s="184"/>
      <c r="J5" s="184"/>
      <c r="K5" s="184"/>
      <c r="L5" s="184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6" ht="19.5" customHeight="1" x14ac:dyDescent="0.4">
      <c r="B6" s="458" t="s">
        <v>548</v>
      </c>
      <c r="C6" s="446" t="s">
        <v>435</v>
      </c>
      <c r="D6" s="447"/>
      <c r="E6" s="447"/>
      <c r="F6" s="446" t="s">
        <v>550</v>
      </c>
      <c r="G6" s="451"/>
      <c r="H6" s="446" t="s">
        <v>436</v>
      </c>
      <c r="I6" s="447"/>
      <c r="J6" s="446" t="s">
        <v>551</v>
      </c>
      <c r="K6" s="451"/>
      <c r="L6" s="446" t="s">
        <v>557</v>
      </c>
      <c r="M6" s="447"/>
      <c r="N6" s="447"/>
      <c r="O6" s="447"/>
      <c r="P6" s="451"/>
      <c r="Q6" s="462" t="s">
        <v>553</v>
      </c>
      <c r="R6" s="463"/>
    </row>
    <row r="7" spans="2:26" ht="52.5" thickBot="1" x14ac:dyDescent="0.4">
      <c r="B7" s="459"/>
      <c r="C7" s="15" t="s">
        <v>456</v>
      </c>
      <c r="D7" s="16" t="s">
        <v>425</v>
      </c>
      <c r="E7" s="16" t="s">
        <v>20</v>
      </c>
      <c r="F7" s="15" t="s">
        <v>2</v>
      </c>
      <c r="G7" s="16" t="s">
        <v>538</v>
      </c>
      <c r="H7" s="15" t="s">
        <v>457</v>
      </c>
      <c r="I7" s="16" t="s">
        <v>409</v>
      </c>
      <c r="J7" s="15" t="s">
        <v>552</v>
      </c>
      <c r="K7" s="16" t="s">
        <v>267</v>
      </c>
      <c r="L7" s="15" t="s">
        <v>539</v>
      </c>
      <c r="M7" s="16" t="s">
        <v>453</v>
      </c>
      <c r="N7" s="16" t="s">
        <v>107</v>
      </c>
      <c r="O7" s="16" t="s">
        <v>106</v>
      </c>
      <c r="P7" s="17" t="s">
        <v>328</v>
      </c>
      <c r="Q7" s="15" t="s">
        <v>457</v>
      </c>
      <c r="R7" s="240" t="s">
        <v>409</v>
      </c>
      <c r="S7" s="275" t="s">
        <v>465</v>
      </c>
      <c r="T7" s="275" t="s">
        <v>455</v>
      </c>
      <c r="U7" s="275" t="s">
        <v>437</v>
      </c>
      <c r="V7" s="275"/>
      <c r="W7" s="161"/>
      <c r="X7" s="162"/>
      <c r="Z7" s="196"/>
    </row>
    <row r="8" spans="2:26" x14ac:dyDescent="0.35">
      <c r="B8" s="9">
        <v>2015</v>
      </c>
      <c r="C8" s="5">
        <f>RefTables!D23+RefTables!$F$49*RefTables!$F$57/1000</f>
        <v>157.12752906068812</v>
      </c>
      <c r="D8" s="110">
        <f>-Inputs_SupplyCurve!AH9/1000</f>
        <v>-8.0169925080334483</v>
      </c>
      <c r="E8" s="110">
        <f>-(Inputs_SupplyCurve!AI9+Inputs_SupplyCurve!AJ9)/1000-RefTables!D284</f>
        <v>-7.1691640119538391</v>
      </c>
      <c r="F8" s="5">
        <f>RefTables!F79/1000</f>
        <v>85.720249999999993</v>
      </c>
      <c r="G8" s="3">
        <f>RefTables!$F$127/1000</f>
        <v>36.795041666666663</v>
      </c>
      <c r="H8" s="237">
        <f t="shared" ref="H8:H23" si="0">SUM(F8:G8)-SUM(C8:E8)</f>
        <v>-19.426080874034199</v>
      </c>
      <c r="I8" s="262">
        <f t="shared" ref="I8:I23" si="1">SUM(C8:E8)/SUM(F8:G8)</f>
        <v>1.158560458941629</v>
      </c>
      <c r="J8" s="342">
        <f>MAX(-H8,0)</f>
        <v>19.426080874034199</v>
      </c>
      <c r="K8" s="345">
        <f>Inputs_JanElectric!D16</f>
        <v>14.10284</v>
      </c>
      <c r="L8" s="5">
        <f>RefTables!$F$126/1000</f>
        <v>18.940624999999997</v>
      </c>
      <c r="M8" s="3">
        <f>RefTables!$F$125/1000</f>
        <v>12.191666666666666</v>
      </c>
      <c r="N8" s="325">
        <f>BalancingMeasures!$N$10*T8</f>
        <v>0.1444</v>
      </c>
      <c r="O8" s="4">
        <f>BalancingMeasures!$N$9*U8</f>
        <v>4.0170000000000003</v>
      </c>
      <c r="P8" s="6"/>
      <c r="Q8" s="241">
        <f t="shared" ref="Q8:Q23" si="2">SUM(L8:P8)-SUM(J8:K8)</f>
        <v>1.7647707926324685</v>
      </c>
      <c r="R8" s="242">
        <f t="shared" ref="R8:R23" si="3">SUM(J8:K8)/SUM(L8:P8)</f>
        <v>0.94999755737371006</v>
      </c>
      <c r="S8" s="107"/>
      <c r="T8" s="107">
        <v>190</v>
      </c>
      <c r="U8" s="107">
        <v>4017</v>
      </c>
      <c r="V8" s="107"/>
      <c r="W8" s="158"/>
      <c r="X8" s="159"/>
      <c r="Y8" s="158"/>
      <c r="Z8" s="197"/>
    </row>
    <row r="9" spans="2:26" x14ac:dyDescent="0.35">
      <c r="B9" s="10">
        <v>2016</v>
      </c>
      <c r="C9" s="7">
        <f>RefTables!D24+RefTables!$F$49*RefTables!$F$57/1000</f>
        <v>159.85216975606758</v>
      </c>
      <c r="D9" s="111">
        <f>-Inputs_SupplyCurve!AH10/1000</f>
        <v>-9.290948102024835</v>
      </c>
      <c r="E9" s="111">
        <f>-(Inputs_SupplyCurve!AI10+Inputs_SupplyCurve!AJ10)/1000-RefTables!D285</f>
        <v>-8.1933302993758161</v>
      </c>
      <c r="F9" s="7">
        <f>RefTables!$F$80/1000</f>
        <v>99.970249999999993</v>
      </c>
      <c r="G9" s="4">
        <f>RefTables!$F$127/1000</f>
        <v>36.795041666666663</v>
      </c>
      <c r="H9" s="238">
        <f t="shared" si="0"/>
        <v>-5.6025996880002822</v>
      </c>
      <c r="I9" s="263">
        <f t="shared" si="1"/>
        <v>1.040965069570833</v>
      </c>
      <c r="J9" s="343">
        <f t="shared" ref="J9:J23" si="4">MAX(-H9,0)</f>
        <v>5.6025996880002822</v>
      </c>
      <c r="K9" s="346">
        <f>Inputs_JanElectric!D17</f>
        <v>14.10284</v>
      </c>
      <c r="L9" s="7">
        <f>RefTables!$F$126/1000</f>
        <v>18.940624999999997</v>
      </c>
      <c r="M9" s="4">
        <f>RefTables!$F$125/1000</f>
        <v>12.191666666666666</v>
      </c>
      <c r="N9" s="325"/>
      <c r="O9" s="4"/>
      <c r="P9" s="8"/>
      <c r="Q9" s="238">
        <f t="shared" si="2"/>
        <v>11.426851978666381</v>
      </c>
      <c r="R9" s="243">
        <f t="shared" si="3"/>
        <v>0.63295821261686602</v>
      </c>
      <c r="S9" s="107"/>
      <c r="T9" s="107"/>
      <c r="U9" s="107"/>
      <c r="V9" s="107"/>
      <c r="W9" s="158"/>
      <c r="X9" s="159"/>
      <c r="Y9" s="158"/>
      <c r="Z9" s="197"/>
    </row>
    <row r="10" spans="2:26" x14ac:dyDescent="0.35">
      <c r="B10" s="10">
        <v>2017</v>
      </c>
      <c r="C10" s="7">
        <f>RefTables!D25+RefTables!$F$49*RefTables!$F$57/1000</f>
        <v>162.43792427380353</v>
      </c>
      <c r="D10" s="111">
        <f>-Inputs_SupplyCurve!AH11/1000</f>
        <v>-10.647280190906416</v>
      </c>
      <c r="E10" s="111">
        <f>-(Inputs_SupplyCurve!AI11+Inputs_SupplyCurve!AJ11)/1000-RefTables!D286</f>
        <v>-9.2174965867977932</v>
      </c>
      <c r="F10" s="7">
        <f>RefTables!$F$80/1000</f>
        <v>99.970249999999993</v>
      </c>
      <c r="G10" s="4">
        <f>RefTables!$F$127/1000</f>
        <v>36.795041666666663</v>
      </c>
      <c r="H10" s="238">
        <f t="shared" si="0"/>
        <v>-5.8078558294326399</v>
      </c>
      <c r="I10" s="263">
        <f t="shared" si="1"/>
        <v>1.042465860735982</v>
      </c>
      <c r="J10" s="343">
        <f t="shared" si="4"/>
        <v>5.8078558294326399</v>
      </c>
      <c r="K10" s="346">
        <f>Inputs_JanElectric!D18</f>
        <v>12.459070000000001</v>
      </c>
      <c r="L10" s="7">
        <f>RefTables!$F$126/1000</f>
        <v>18.940624999999997</v>
      </c>
      <c r="M10" s="4">
        <f>RefTables!$F$125/1000</f>
        <v>12.191666666666666</v>
      </c>
      <c r="N10" s="325"/>
      <c r="O10" s="4"/>
      <c r="P10" s="8"/>
      <c r="Q10" s="238">
        <f t="shared" si="2"/>
        <v>12.865365837234023</v>
      </c>
      <c r="R10" s="277">
        <f t="shared" si="3"/>
        <v>0.58675172470489967</v>
      </c>
      <c r="S10" s="107"/>
      <c r="T10" s="107"/>
      <c r="U10" s="107"/>
      <c r="V10" s="107"/>
      <c r="W10" s="158"/>
      <c r="X10" s="159"/>
      <c r="Y10" s="158"/>
      <c r="Z10" s="197"/>
    </row>
    <row r="11" spans="2:26" x14ac:dyDescent="0.35">
      <c r="B11" s="10">
        <v>2018</v>
      </c>
      <c r="C11" s="7">
        <f>RefTables!D26+RefTables!$F$49*RefTables!$F$57/1000</f>
        <v>165.218866784326</v>
      </c>
      <c r="D11" s="111">
        <f>-Inputs_SupplyCurve!AH12/1000</f>
        <v>-11.786379196509024</v>
      </c>
      <c r="E11" s="111">
        <f>-(Inputs_SupplyCurve!AI12+Inputs_SupplyCurve!AJ12)/1000-RefTables!D287</f>
        <v>-10.24166287421977</v>
      </c>
      <c r="F11" s="7">
        <f>RefTables!$F$80/1000</f>
        <v>99.970249999999993</v>
      </c>
      <c r="G11" s="4">
        <f>RefTables!$F$127/1000</f>
        <v>36.795041666666663</v>
      </c>
      <c r="H11" s="238">
        <f t="shared" si="0"/>
        <v>-6.4255330469305534</v>
      </c>
      <c r="I11" s="263">
        <f t="shared" si="1"/>
        <v>1.0469821909391404</v>
      </c>
      <c r="J11" s="343">
        <f t="shared" si="4"/>
        <v>6.4255330469305534</v>
      </c>
      <c r="K11" s="346">
        <f>Inputs_JanElectric!D19</f>
        <v>23.138960000000001</v>
      </c>
      <c r="L11" s="7">
        <f>RefTables!$F$126/1000</f>
        <v>18.940624999999997</v>
      </c>
      <c r="M11" s="4">
        <f>RefTables!$F$125/1000</f>
        <v>12.191666666666666</v>
      </c>
      <c r="N11" s="325"/>
      <c r="O11" s="4"/>
      <c r="P11" s="8"/>
      <c r="Q11" s="238">
        <f t="shared" si="2"/>
        <v>1.5677986197361093</v>
      </c>
      <c r="R11" s="277">
        <f t="shared" si="3"/>
        <v>0.9496407576890733</v>
      </c>
      <c r="S11" s="107"/>
      <c r="T11" s="107"/>
      <c r="U11" s="107"/>
      <c r="V11" s="107"/>
      <c r="W11" s="158"/>
      <c r="X11" s="159"/>
      <c r="Y11" s="158"/>
      <c r="Z11" s="197"/>
    </row>
    <row r="12" spans="2:26" x14ac:dyDescent="0.35">
      <c r="B12" s="10">
        <v>2019</v>
      </c>
      <c r="C12" s="7">
        <f>RefTables!D27+RefTables!$F$49*RefTables!$F$57/1000</f>
        <v>167.74355386487682</v>
      </c>
      <c r="D12" s="111">
        <f>-Inputs_SupplyCurve!AH13/1000</f>
        <v>-12.838816405823042</v>
      </c>
      <c r="E12" s="111">
        <f>-(Inputs_SupplyCurve!AI13+Inputs_SupplyCurve!AJ13)/1000-RefTables!D288</f>
        <v>-11.265829161641747</v>
      </c>
      <c r="F12" s="7">
        <f>RefTables!$F$80/1000</f>
        <v>99.970249999999993</v>
      </c>
      <c r="G12" s="4">
        <f>RefTables!$F$127/1000</f>
        <v>36.795041666666663</v>
      </c>
      <c r="H12" s="238">
        <f t="shared" si="0"/>
        <v>-6.8736166307453459</v>
      </c>
      <c r="I12" s="263">
        <f t="shared" si="1"/>
        <v>1.0502584869814644</v>
      </c>
      <c r="J12" s="343">
        <f t="shared" si="4"/>
        <v>6.8736166307453459</v>
      </c>
      <c r="K12" s="346">
        <f>Inputs_JanElectric!D20</f>
        <v>19.635619999999999</v>
      </c>
      <c r="L12" s="7">
        <f>RefTables!$F$126/1000</f>
        <v>18.940624999999997</v>
      </c>
      <c r="M12" s="4">
        <f>RefTables!$F$125/1000</f>
        <v>12.191666666666666</v>
      </c>
      <c r="N12" s="325"/>
      <c r="O12" s="4"/>
      <c r="P12" s="8"/>
      <c r="Q12" s="238">
        <f t="shared" si="2"/>
        <v>4.6230550359213183</v>
      </c>
      <c r="R12" s="243">
        <f t="shared" si="3"/>
        <v>0.85150289977299609</v>
      </c>
      <c r="S12" s="107"/>
      <c r="T12" s="107"/>
      <c r="U12" s="107"/>
      <c r="V12" s="107"/>
      <c r="W12" s="158"/>
      <c r="X12" s="159"/>
      <c r="Y12" s="160"/>
      <c r="Z12" s="158"/>
    </row>
    <row r="13" spans="2:26" x14ac:dyDescent="0.35">
      <c r="B13" s="10">
        <v>2020</v>
      </c>
      <c r="C13" s="7">
        <f>RefTables!D28+RefTables!$F$49*RefTables!$F$57/1000</f>
        <v>168.56469967420119</v>
      </c>
      <c r="D13" s="111">
        <f>-Inputs_SupplyCurve!AH14/1000</f>
        <v>-13.935429756935545</v>
      </c>
      <c r="E13" s="111">
        <f>-(Inputs_SupplyCurve!AI14+Inputs_SupplyCurve!AJ14)/1000-RefTables!D289</f>
        <v>-12.289995449063724</v>
      </c>
      <c r="F13" s="7">
        <f>RefTables!$F$80/1000</f>
        <v>99.970249999999993</v>
      </c>
      <c r="G13" s="4">
        <f>RefTables!$F$127/1000</f>
        <v>36.795041666666663</v>
      </c>
      <c r="H13" s="238">
        <f t="shared" si="0"/>
        <v>-5.5739828015352657</v>
      </c>
      <c r="I13" s="263">
        <f t="shared" si="1"/>
        <v>1.040755828716547</v>
      </c>
      <c r="J13" s="343">
        <f t="shared" si="4"/>
        <v>5.5739828015352657</v>
      </c>
      <c r="K13" s="346">
        <f>Inputs_JanElectric!D21</f>
        <v>53.835350000000005</v>
      </c>
      <c r="L13" s="7">
        <f>RefTables!$F$126/1000</f>
        <v>18.940624999999997</v>
      </c>
      <c r="M13" s="4">
        <f>RefTables!$F$125/1000</f>
        <v>12.191666666666666</v>
      </c>
      <c r="N13" s="4"/>
      <c r="O13" s="4"/>
      <c r="P13" s="8">
        <f>BalancingMeasures!$N$15*$S13</f>
        <v>33.333333333333329</v>
      </c>
      <c r="Q13" s="238">
        <f t="shared" si="2"/>
        <v>5.0562921984647176</v>
      </c>
      <c r="R13" s="243">
        <f t="shared" si="3"/>
        <v>0.92156607186442818</v>
      </c>
      <c r="S13" s="107">
        <v>8</v>
      </c>
      <c r="T13" s="107"/>
      <c r="U13" s="107"/>
      <c r="V13" s="107"/>
      <c r="W13" s="158"/>
      <c r="X13" s="159"/>
      <c r="Y13" s="158"/>
      <c r="Z13" s="158"/>
    </row>
    <row r="14" spans="2:26" x14ac:dyDescent="0.35">
      <c r="B14" s="10">
        <v>2021</v>
      </c>
      <c r="C14" s="7">
        <f>RefTables!D29+RefTables!$F$49*RefTables!$F$57/1000</f>
        <v>169.38995121257219</v>
      </c>
      <c r="D14" s="111">
        <f>-Inputs_SupplyCurve!AH15/1000</f>
        <v>-14.70590746225548</v>
      </c>
      <c r="E14" s="111">
        <f>-(Inputs_SupplyCurve!AI15+Inputs_SupplyCurve!AJ15)/1000-RefTables!D290</f>
        <v>-13.127680341605966</v>
      </c>
      <c r="F14" s="7">
        <f>RefTables!$F$80/1000</f>
        <v>99.970249999999993</v>
      </c>
      <c r="G14" s="4">
        <f>RefTables!$F$127/1000</f>
        <v>36.795041666666663</v>
      </c>
      <c r="H14" s="238">
        <f t="shared" si="0"/>
        <v>-4.791071742044096</v>
      </c>
      <c r="I14" s="263">
        <f t="shared" si="1"/>
        <v>1.0350313422627813</v>
      </c>
      <c r="J14" s="343">
        <f t="shared" si="4"/>
        <v>4.791071742044096</v>
      </c>
      <c r="K14" s="346">
        <f>Inputs_JanElectric!D22</f>
        <v>52.276329999999994</v>
      </c>
      <c r="L14" s="7">
        <f>RefTables!$F$126/1000</f>
        <v>18.940624999999997</v>
      </c>
      <c r="M14" s="4">
        <f>RefTables!$F$125/1000</f>
        <v>12.191666666666666</v>
      </c>
      <c r="N14" s="4"/>
      <c r="O14" s="4"/>
      <c r="P14" s="8">
        <f>BalancingMeasures!$N$15*$S14</f>
        <v>33.333333333333329</v>
      </c>
      <c r="Q14" s="238">
        <f t="shared" si="2"/>
        <v>7.3982232579558982</v>
      </c>
      <c r="R14" s="243">
        <f t="shared" si="3"/>
        <v>0.88523770214039033</v>
      </c>
      <c r="S14" s="107">
        <v>8</v>
      </c>
      <c r="T14" s="107"/>
      <c r="U14" s="107"/>
      <c r="V14" s="107"/>
      <c r="W14" s="158"/>
      <c r="X14" s="159"/>
      <c r="Y14" s="158"/>
      <c r="Z14" s="158"/>
    </row>
    <row r="15" spans="2:26" x14ac:dyDescent="0.35">
      <c r="B15" s="10">
        <v>2022</v>
      </c>
      <c r="C15" s="7">
        <f>RefTables!D30+RefTables!$F$49*RefTables!$F$57/1000</f>
        <v>170.21932900863504</v>
      </c>
      <c r="D15" s="111">
        <f>-Inputs_SupplyCurve!AH16/1000</f>
        <v>-15.475632297536823</v>
      </c>
      <c r="E15" s="111">
        <f>-(Inputs_SupplyCurve!AI16+Inputs_SupplyCurve!AJ16)/1000-RefTables!D291</f>
        <v>-13.965365234148209</v>
      </c>
      <c r="F15" s="7">
        <f>RefTables!$F$80/1000</f>
        <v>99.970249999999993</v>
      </c>
      <c r="G15" s="4">
        <f>RefTables!$F$127/1000</f>
        <v>36.795041666666663</v>
      </c>
      <c r="H15" s="238">
        <f t="shared" si="0"/>
        <v>-4.0130398102833453</v>
      </c>
      <c r="I15" s="263">
        <f t="shared" si="1"/>
        <v>1.0293425309987581</v>
      </c>
      <c r="J15" s="343">
        <f t="shared" si="4"/>
        <v>4.0130398102833453</v>
      </c>
      <c r="K15" s="346">
        <f>Inputs_JanElectric!D23</f>
        <v>52.166459999999994</v>
      </c>
      <c r="L15" s="7">
        <f>RefTables!$F$126/1000</f>
        <v>18.940624999999997</v>
      </c>
      <c r="M15" s="4">
        <f>RefTables!$F$125/1000</f>
        <v>12.191666666666666</v>
      </c>
      <c r="N15" s="4"/>
      <c r="O15" s="4"/>
      <c r="P15" s="8">
        <f>BalancingMeasures!$N$15*$S15</f>
        <v>33.333333333333329</v>
      </c>
      <c r="Q15" s="238">
        <f t="shared" si="2"/>
        <v>8.2861251897166497</v>
      </c>
      <c r="R15" s="243">
        <f t="shared" si="3"/>
        <v>0.87146444031657722</v>
      </c>
      <c r="S15" s="107">
        <v>8</v>
      </c>
      <c r="T15" s="107"/>
      <c r="U15" s="107"/>
      <c r="V15" s="107"/>
      <c r="W15" s="158"/>
      <c r="X15" s="159"/>
      <c r="Y15" s="158"/>
      <c r="Z15" s="158"/>
    </row>
    <row r="16" spans="2:26" x14ac:dyDescent="0.35">
      <c r="B16" s="10">
        <v>2023</v>
      </c>
      <c r="C16" s="7">
        <f>RefTables!D31+RefTables!$F$49*RefTables!$F$57/1000</f>
        <v>171.0528536936782</v>
      </c>
      <c r="D16" s="111">
        <f>-Inputs_SupplyCurve!AH17/1000</f>
        <v>-15.832642145807547</v>
      </c>
      <c r="E16" s="111">
        <f>-(Inputs_SupplyCurve!AI17+Inputs_SupplyCurve!AJ17)/1000-RefTables!D292</f>
        <v>-14.803050126690451</v>
      </c>
      <c r="F16" s="7">
        <f>RefTables!$F$80/1000</f>
        <v>99.970249999999993</v>
      </c>
      <c r="G16" s="4">
        <f>RefTables!$F$127/1000</f>
        <v>36.795041666666663</v>
      </c>
      <c r="H16" s="238">
        <f t="shared" si="0"/>
        <v>-3.651869754513541</v>
      </c>
      <c r="I16" s="263">
        <f t="shared" si="1"/>
        <v>1.026701728998715</v>
      </c>
      <c r="J16" s="343">
        <f t="shared" si="4"/>
        <v>3.651869754513541</v>
      </c>
      <c r="K16" s="346">
        <f>Inputs_JanElectric!D24</f>
        <v>53.501739999999998</v>
      </c>
      <c r="L16" s="7">
        <f>RefTables!$F$126/1000</f>
        <v>18.940624999999997</v>
      </c>
      <c r="M16" s="4">
        <f>RefTables!$F$125/1000</f>
        <v>12.191666666666666</v>
      </c>
      <c r="N16" s="4"/>
      <c r="O16" s="4"/>
      <c r="P16" s="8">
        <f>BalancingMeasures!$N$15*$S16</f>
        <v>33.333333333333329</v>
      </c>
      <c r="Q16" s="238">
        <f t="shared" si="2"/>
        <v>7.3120152454864495</v>
      </c>
      <c r="R16" s="243">
        <f t="shared" si="3"/>
        <v>0.88657497316614164</v>
      </c>
      <c r="S16" s="107">
        <v>8</v>
      </c>
      <c r="T16" s="107"/>
      <c r="U16" s="107"/>
      <c r="V16" s="107"/>
      <c r="W16" s="158"/>
      <c r="X16" s="159"/>
      <c r="Y16" s="158"/>
      <c r="Z16" s="158"/>
    </row>
    <row r="17" spans="2:26" x14ac:dyDescent="0.35">
      <c r="B17" s="10">
        <v>2024</v>
      </c>
      <c r="C17" s="7">
        <f>RefTables!D32+RefTables!$F$49*RefTables!$F$57/1000</f>
        <v>171.89054600214658</v>
      </c>
      <c r="D17" s="111">
        <f>-Inputs_SupplyCurve!AH18/1000</f>
        <v>-16.298804130984372</v>
      </c>
      <c r="E17" s="111">
        <f>-(Inputs_SupplyCurve!AI18+Inputs_SupplyCurve!AJ18)/1000-RefTables!D293</f>
        <v>-15.640735019232693</v>
      </c>
      <c r="F17" s="7">
        <f>RefTables!$F$80/1000</f>
        <v>99.970249999999993</v>
      </c>
      <c r="G17" s="4">
        <f>RefTables!$F$127/1000</f>
        <v>36.795041666666663</v>
      </c>
      <c r="H17" s="238">
        <f t="shared" si="0"/>
        <v>-3.1857151852628647</v>
      </c>
      <c r="I17" s="263">
        <f t="shared" si="1"/>
        <v>1.0232933015858094</v>
      </c>
      <c r="J17" s="343">
        <f t="shared" si="4"/>
        <v>3.1857151852628647</v>
      </c>
      <c r="K17" s="346">
        <f>Inputs_JanElectric!D25</f>
        <v>55.142089999999996</v>
      </c>
      <c r="L17" s="7">
        <f>RefTables!$F$126/1000</f>
        <v>18.940624999999997</v>
      </c>
      <c r="M17" s="4">
        <f>RefTables!$F$125/1000</f>
        <v>12.191666666666666</v>
      </c>
      <c r="N17" s="4"/>
      <c r="O17" s="4"/>
      <c r="P17" s="8">
        <f>BalancingMeasures!$N$15*$S17</f>
        <v>37.499999999999993</v>
      </c>
      <c r="Q17" s="238">
        <f t="shared" si="2"/>
        <v>10.304486481403799</v>
      </c>
      <c r="R17" s="243">
        <f t="shared" si="3"/>
        <v>0.84985950153827539</v>
      </c>
      <c r="S17" s="107">
        <v>9</v>
      </c>
      <c r="T17" s="107"/>
      <c r="U17" s="107"/>
      <c r="V17" s="107"/>
      <c r="W17" s="158"/>
      <c r="X17" s="159"/>
      <c r="Y17" s="158"/>
      <c r="Z17" s="158"/>
    </row>
    <row r="18" spans="2:26" x14ac:dyDescent="0.35">
      <c r="B18" s="10">
        <v>2025</v>
      </c>
      <c r="C18" s="7">
        <f>RefTables!D33+RefTables!$F$49*RefTables!$F$57/1000</f>
        <v>172.73242677215728</v>
      </c>
      <c r="D18" s="111">
        <f>-Inputs_SupplyCurve!AH19/1000</f>
        <v>-16.703852344055448</v>
      </c>
      <c r="E18" s="111">
        <f>-(Inputs_SupplyCurve!AI19+Inputs_SupplyCurve!AJ19)/1000-RefTables!D294</f>
        <v>-16.478419911774935</v>
      </c>
      <c r="F18" s="7">
        <f>RefTables!$F$80/1000</f>
        <v>99.970249999999993</v>
      </c>
      <c r="G18" s="4">
        <f>RefTables!$F$127/1000</f>
        <v>36.795041666666663</v>
      </c>
      <c r="H18" s="238">
        <f t="shared" si="0"/>
        <v>-2.7848628496602146</v>
      </c>
      <c r="I18" s="263">
        <f t="shared" si="1"/>
        <v>1.0203623508254394</v>
      </c>
      <c r="J18" s="343">
        <f t="shared" si="4"/>
        <v>2.7848628496602146</v>
      </c>
      <c r="K18" s="346">
        <f>Inputs_JanElectric!D26</f>
        <v>54.090229999999998</v>
      </c>
      <c r="L18" s="7">
        <f>RefTables!$F$126/1000</f>
        <v>18.940624999999997</v>
      </c>
      <c r="M18" s="4">
        <f>RefTables!$F$125/1000</f>
        <v>12.191666666666666</v>
      </c>
      <c r="N18" s="4"/>
      <c r="O18" s="4"/>
      <c r="P18" s="8">
        <f>BalancingMeasures!$N$15*$S18</f>
        <v>37.499999999999993</v>
      </c>
      <c r="Q18" s="238">
        <f t="shared" si="2"/>
        <v>11.757198817006447</v>
      </c>
      <c r="R18" s="243">
        <f t="shared" si="3"/>
        <v>0.82869290050653099</v>
      </c>
      <c r="S18" s="107">
        <v>9</v>
      </c>
      <c r="T18" s="107"/>
      <c r="U18" s="107"/>
      <c r="V18" s="107"/>
      <c r="W18" s="158"/>
      <c r="X18" s="159"/>
      <c r="Y18" s="159"/>
      <c r="Z18" s="158"/>
    </row>
    <row r="19" spans="2:26" x14ac:dyDescent="0.35">
      <c r="B19" s="10">
        <v>2026</v>
      </c>
      <c r="C19" s="7">
        <f>RefTables!D34+RefTables!$F$49*RefTables!$F$57/1000</f>
        <v>173.57851694601806</v>
      </c>
      <c r="D19" s="111">
        <f>-Inputs_SupplyCurve!AH20/1000</f>
        <v>-17.083271756701425</v>
      </c>
      <c r="E19" s="111">
        <f>-(Inputs_SupplyCurve!AI20+Inputs_SupplyCurve!AJ20)/1000-RefTables!D295</f>
        <v>-17.316104804317177</v>
      </c>
      <c r="F19" s="7">
        <f>RefTables!$F$80/1000</f>
        <v>99.970249999999993</v>
      </c>
      <c r="G19" s="4">
        <f>RefTables!$F$127/1000</f>
        <v>36.795041666666663</v>
      </c>
      <c r="H19" s="238">
        <f t="shared" si="0"/>
        <v>-2.4138487183327868</v>
      </c>
      <c r="I19" s="263">
        <f t="shared" si="1"/>
        <v>1.0176495709468159</v>
      </c>
      <c r="J19" s="343">
        <f t="shared" si="4"/>
        <v>2.4138487183327868</v>
      </c>
      <c r="K19" s="346">
        <f>Inputs_JanElectric!D27</f>
        <v>54.090229999999998</v>
      </c>
      <c r="L19" s="7">
        <f>RefTables!$F$126/1000</f>
        <v>18.940624999999997</v>
      </c>
      <c r="M19" s="4">
        <f>RefTables!$F$125/1000</f>
        <v>12.191666666666666</v>
      </c>
      <c r="N19" s="4"/>
      <c r="O19" s="4"/>
      <c r="P19" s="8">
        <f>BalancingMeasures!$N$15*$S19</f>
        <v>37.499999999999993</v>
      </c>
      <c r="Q19" s="238">
        <f t="shared" si="2"/>
        <v>12.128212948333875</v>
      </c>
      <c r="R19" s="243">
        <f t="shared" si="3"/>
        <v>0.82328707589660299</v>
      </c>
      <c r="S19" s="107">
        <v>9</v>
      </c>
      <c r="T19" s="107"/>
      <c r="U19" s="107"/>
      <c r="V19" s="107"/>
      <c r="W19" s="158"/>
      <c r="X19" s="159"/>
      <c r="Y19" s="159"/>
      <c r="Z19" s="158"/>
    </row>
    <row r="20" spans="2:26" x14ac:dyDescent="0.35">
      <c r="B20" s="10">
        <v>2027</v>
      </c>
      <c r="C20" s="7">
        <f>RefTables!D35+RefTables!$F$49*RefTables!$F$57/1000</f>
        <v>174.42883757074813</v>
      </c>
      <c r="D20" s="111">
        <f>-Inputs_SupplyCurve!AH21/1000</f>
        <v>-17.288292820858608</v>
      </c>
      <c r="E20" s="111">
        <f>-(Inputs_SupplyCurve!AI21+Inputs_SupplyCurve!AJ21)/1000-RefTables!D296</f>
        <v>-18.15378969685942</v>
      </c>
      <c r="F20" s="7">
        <f>RefTables!$F$80/1000</f>
        <v>99.970249999999993</v>
      </c>
      <c r="G20" s="4">
        <f>RefTables!$F$127/1000</f>
        <v>36.795041666666663</v>
      </c>
      <c r="H20" s="238">
        <f t="shared" si="0"/>
        <v>-2.221463386363439</v>
      </c>
      <c r="I20" s="263">
        <f t="shared" si="1"/>
        <v>1.0162428885230452</v>
      </c>
      <c r="J20" s="343">
        <f t="shared" si="4"/>
        <v>2.221463386363439</v>
      </c>
      <c r="K20" s="346">
        <f>Inputs_JanElectric!D28</f>
        <v>56.154549999999993</v>
      </c>
      <c r="L20" s="7">
        <f>RefTables!$F$126/1000</f>
        <v>18.940624999999997</v>
      </c>
      <c r="M20" s="4">
        <f>RefTables!$F$125/1000</f>
        <v>12.191666666666666</v>
      </c>
      <c r="N20" s="4"/>
      <c r="O20" s="4"/>
      <c r="P20" s="8">
        <f>BalancingMeasures!$N$15*$S20</f>
        <v>37.499999999999993</v>
      </c>
      <c r="Q20" s="238">
        <f t="shared" si="2"/>
        <v>10.256278280303228</v>
      </c>
      <c r="R20" s="243">
        <f t="shared" si="3"/>
        <v>0.85056191435197992</v>
      </c>
      <c r="S20" s="107">
        <v>9</v>
      </c>
      <c r="T20" s="107"/>
      <c r="U20" s="107"/>
      <c r="V20" s="107"/>
      <c r="W20" s="158"/>
      <c r="X20" s="159"/>
      <c r="Y20" s="159"/>
      <c r="Z20" s="158"/>
    </row>
    <row r="21" spans="2:26" x14ac:dyDescent="0.35">
      <c r="B21" s="10">
        <v>2028</v>
      </c>
      <c r="C21" s="7">
        <f>RefTables!D36+RefTables!$F$49*RefTables!$F$57/1000</f>
        <v>175.28340979860184</v>
      </c>
      <c r="D21" s="111">
        <f>-Inputs_SupplyCurve!AH22/1000</f>
        <v>-17.516075072155846</v>
      </c>
      <c r="E21" s="111">
        <f>-(Inputs_SupplyCurve!AI22+Inputs_SupplyCurve!AJ22)/1000-RefTables!D297</f>
        <v>-18.991474589401662</v>
      </c>
      <c r="F21" s="7">
        <f>RefTables!$F$80/1000</f>
        <v>99.970249999999993</v>
      </c>
      <c r="G21" s="4">
        <f>RefTables!$F$127/1000</f>
        <v>36.795041666666663</v>
      </c>
      <c r="H21" s="238">
        <f t="shared" si="0"/>
        <v>-2.0105684703776774</v>
      </c>
      <c r="I21" s="263">
        <f t="shared" si="1"/>
        <v>1.0147008677850662</v>
      </c>
      <c r="J21" s="343">
        <f t="shared" si="4"/>
        <v>2.0105684703776774</v>
      </c>
      <c r="K21" s="346">
        <f>Inputs_JanElectric!D29</f>
        <v>60.070159999999987</v>
      </c>
      <c r="L21" s="7">
        <f>RefTables!$F$126/1000</f>
        <v>18.940624999999997</v>
      </c>
      <c r="M21" s="4">
        <f>RefTables!$F$125/1000</f>
        <v>12.191666666666666</v>
      </c>
      <c r="N21" s="4"/>
      <c r="O21" s="4"/>
      <c r="P21" s="8">
        <f>BalancingMeasures!$N$15*$S21</f>
        <v>37.499999999999993</v>
      </c>
      <c r="Q21" s="238">
        <f t="shared" si="2"/>
        <v>6.5515631962889955</v>
      </c>
      <c r="R21" s="243">
        <f t="shared" si="3"/>
        <v>0.904541098115904</v>
      </c>
      <c r="S21" s="107">
        <v>9</v>
      </c>
      <c r="T21" s="107"/>
      <c r="U21" s="107"/>
      <c r="V21" s="107"/>
      <c r="W21" s="158"/>
      <c r="X21" s="159"/>
      <c r="Y21" s="159"/>
      <c r="Z21" s="158"/>
    </row>
    <row r="22" spans="2:26" x14ac:dyDescent="0.35">
      <c r="B22" s="10">
        <v>2029</v>
      </c>
      <c r="C22" s="7">
        <f>RefTables!D37+RefTables!$F$49*RefTables!$F$57/1000</f>
        <v>176.14225488759482</v>
      </c>
      <c r="D22" s="111">
        <f>-Inputs_SupplyCurve!AH23/1000</f>
        <v>-17.604403492149142</v>
      </c>
      <c r="E22" s="111">
        <f>-(Inputs_SupplyCurve!AI23+Inputs_SupplyCurve!AJ23)/1000-RefTables!D298</f>
        <v>-19.829159481943904</v>
      </c>
      <c r="F22" s="7">
        <f>RefTables!$F$80/1000</f>
        <v>99.970249999999993</v>
      </c>
      <c r="G22" s="4">
        <f>RefTables!$F$127/1000</f>
        <v>36.795041666666663</v>
      </c>
      <c r="H22" s="238">
        <f t="shared" si="0"/>
        <v>-1.9434002468350968</v>
      </c>
      <c r="I22" s="263">
        <f t="shared" si="1"/>
        <v>1.0142097473938905</v>
      </c>
      <c r="J22" s="343">
        <f t="shared" si="4"/>
        <v>1.9434002468350968</v>
      </c>
      <c r="K22" s="346">
        <f>Inputs_JanElectric!D30</f>
        <v>60.852229999999992</v>
      </c>
      <c r="L22" s="7">
        <f>RefTables!$F$126/1000</f>
        <v>18.940624999999997</v>
      </c>
      <c r="M22" s="4">
        <f>RefTables!$F$125/1000</f>
        <v>12.191666666666666</v>
      </c>
      <c r="N22" s="4"/>
      <c r="O22" s="4"/>
      <c r="P22" s="8">
        <f>BalancingMeasures!$N$15*$S22</f>
        <v>37.499999999999993</v>
      </c>
      <c r="Q22" s="238">
        <f t="shared" si="2"/>
        <v>5.8366614198315716</v>
      </c>
      <c r="R22" s="243">
        <f t="shared" si="3"/>
        <v>0.91495750355854255</v>
      </c>
      <c r="S22" s="107">
        <v>9</v>
      </c>
      <c r="T22" s="107"/>
      <c r="U22" s="107"/>
      <c r="V22" s="107"/>
      <c r="W22" s="158"/>
      <c r="X22" s="159"/>
      <c r="Y22" s="159"/>
      <c r="Z22" s="158"/>
    </row>
    <row r="23" spans="2:26" ht="18" thickBot="1" x14ac:dyDescent="0.4">
      <c r="B23" s="11">
        <v>2030</v>
      </c>
      <c r="C23" s="12">
        <f>RefTables!D38+RefTables!$F$49*RefTables!$F$57/1000</f>
        <v>177.00539420203276</v>
      </c>
      <c r="D23" s="112">
        <f>-Inputs_SupplyCurve!AH24/1000</f>
        <v>-17.653989744732193</v>
      </c>
      <c r="E23" s="112">
        <f>-(Inputs_SupplyCurve!AI24+Inputs_SupplyCurve!AJ24)/1000-RefTables!D299</f>
        <v>-20.666844374486139</v>
      </c>
      <c r="F23" s="12">
        <f>RefTables!$F$80/1000</f>
        <v>99.970249999999993</v>
      </c>
      <c r="G23" s="13">
        <f>RefTables!$F$127/1000</f>
        <v>36.795041666666663</v>
      </c>
      <c r="H23" s="239">
        <f t="shared" si="0"/>
        <v>-1.9192684161477587</v>
      </c>
      <c r="I23" s="264">
        <f t="shared" si="1"/>
        <v>1.0140333003553674</v>
      </c>
      <c r="J23" s="344">
        <f t="shared" si="4"/>
        <v>1.9192684161477587</v>
      </c>
      <c r="K23" s="347">
        <f>Inputs_JanElectric!D31</f>
        <v>60.978319999999989</v>
      </c>
      <c r="L23" s="12">
        <f>RefTables!$F$126/1000</f>
        <v>18.940624999999997</v>
      </c>
      <c r="M23" s="13">
        <f>RefTables!$F$125/1000</f>
        <v>12.191666666666666</v>
      </c>
      <c r="N23" s="13"/>
      <c r="O23" s="13"/>
      <c r="P23" s="14">
        <f>BalancingMeasures!$N$15*$S23</f>
        <v>37.499999999999993</v>
      </c>
      <c r="Q23" s="239">
        <f t="shared" si="2"/>
        <v>5.7347032505189119</v>
      </c>
      <c r="R23" s="252">
        <f t="shared" si="3"/>
        <v>0.91644307495411603</v>
      </c>
      <c r="S23" s="107">
        <v>9</v>
      </c>
      <c r="T23" s="107"/>
      <c r="U23" s="107"/>
      <c r="V23" s="107"/>
      <c r="W23" s="158"/>
      <c r="X23" s="159"/>
      <c r="Y23" s="159"/>
      <c r="Z23" s="158"/>
    </row>
    <row r="25" spans="2:26" ht="21.75" x14ac:dyDescent="0.45">
      <c r="B25" s="440" t="s">
        <v>3</v>
      </c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185"/>
      <c r="T25" s="185"/>
    </row>
    <row r="26" spans="2:26" ht="18" thickBot="1" x14ac:dyDescent="0.4">
      <c r="B26" s="2"/>
      <c r="C26" s="2"/>
      <c r="D26" s="184"/>
      <c r="E26" s="184"/>
      <c r="F26" s="75"/>
      <c r="G26" s="2"/>
      <c r="H26" s="2"/>
      <c r="I26" s="2"/>
    </row>
    <row r="27" spans="2:26" ht="19.5" customHeight="1" x14ac:dyDescent="0.4">
      <c r="B27" s="460" t="s">
        <v>549</v>
      </c>
      <c r="C27" s="454" t="s">
        <v>435</v>
      </c>
      <c r="D27" s="455"/>
      <c r="E27" s="455"/>
      <c r="F27" s="437" t="s">
        <v>551</v>
      </c>
      <c r="G27" s="438"/>
      <c r="H27" s="433" t="s">
        <v>1</v>
      </c>
      <c r="J27" s="456" t="s">
        <v>347</v>
      </c>
      <c r="K27" s="452" t="s">
        <v>435</v>
      </c>
      <c r="L27" s="453"/>
      <c r="M27" s="453"/>
      <c r="N27" s="435" t="s">
        <v>551</v>
      </c>
      <c r="O27" s="439"/>
      <c r="P27" s="435" t="s">
        <v>1</v>
      </c>
      <c r="Q27" s="435" t="s">
        <v>559</v>
      </c>
      <c r="R27" s="441"/>
    </row>
    <row r="28" spans="2:26" ht="52.5" customHeight="1" thickBot="1" x14ac:dyDescent="0.4">
      <c r="B28" s="461"/>
      <c r="C28" s="156" t="s">
        <v>456</v>
      </c>
      <c r="D28" s="157" t="s">
        <v>425</v>
      </c>
      <c r="E28" s="157" t="s">
        <v>20</v>
      </c>
      <c r="F28" s="350" t="s">
        <v>267</v>
      </c>
      <c r="G28" s="348" t="s">
        <v>106</v>
      </c>
      <c r="H28" s="434"/>
      <c r="J28" s="457"/>
      <c r="K28" s="154" t="s">
        <v>456</v>
      </c>
      <c r="L28" s="155" t="s">
        <v>425</v>
      </c>
      <c r="M28" s="155" t="s">
        <v>20</v>
      </c>
      <c r="N28" s="351" t="s">
        <v>537</v>
      </c>
      <c r="O28" s="349" t="s">
        <v>106</v>
      </c>
      <c r="P28" s="436"/>
      <c r="Q28" s="154" t="s">
        <v>560</v>
      </c>
      <c r="R28" s="357" t="s">
        <v>558</v>
      </c>
    </row>
    <row r="29" spans="2:26" x14ac:dyDescent="0.35">
      <c r="B29" s="9">
        <v>2015</v>
      </c>
      <c r="C29" s="5">
        <f>RefTables!C23/1000+(RefTables!$F$49*RefTables!$F$57/RefTables!E23)*10^-6</f>
        <v>262.16001363122507</v>
      </c>
      <c r="D29" s="110">
        <f>-Inputs_SupplyCurve!T9*10^-6</f>
        <v>-14.748059417778327</v>
      </c>
      <c r="E29" s="110">
        <f>-(Inputs_SupplyCurve!U9+Inputs_SupplyCurve!V9)*10^-6-RefTables!C284</f>
        <v>-11.961418513571806</v>
      </c>
      <c r="F29" s="342">
        <f>Inputs_AnnualElectric!F16*10^-6</f>
        <v>191.60557</v>
      </c>
      <c r="G29" s="345">
        <f t="shared" ref="G29:G44" si="5">-O8/1000</f>
        <v>-4.0170000000000006E-3</v>
      </c>
      <c r="H29" s="278">
        <f t="shared" ref="H29:H44" si="6">SUM(C29:E29,F29,G29)</f>
        <v>427.05208869987496</v>
      </c>
      <c r="I29" s="77"/>
      <c r="J29" s="9">
        <v>2015</v>
      </c>
      <c r="K29" s="5">
        <f>C29*RefTables!$O139</f>
        <v>13.786087607379818</v>
      </c>
      <c r="L29" s="3">
        <f>D29*RefTables!$O139</f>
        <v>-0.77554939197683359</v>
      </c>
      <c r="M29" s="3">
        <f>E29*RefTables!$O139</f>
        <v>-0.62900959323491168</v>
      </c>
      <c r="N29" s="342">
        <f>Inputs_AnnualElectric!G16*10^-6</f>
        <v>18.248599257178306</v>
      </c>
      <c r="O29" s="345">
        <f>O8*RefTables!I165/1000</f>
        <v>9.7962852301197603E-5</v>
      </c>
      <c r="P29" s="342">
        <f t="shared" ref="P29:P44" si="7">SUM(K29:M29,N29,O29)</f>
        <v>30.63022584219868</v>
      </c>
      <c r="Q29" s="5" t="s">
        <v>561</v>
      </c>
      <c r="R29" s="358" t="s">
        <v>561</v>
      </c>
    </row>
    <row r="30" spans="2:26" x14ac:dyDescent="0.35">
      <c r="B30" s="10">
        <v>2016</v>
      </c>
      <c r="C30" s="7">
        <f>RefTables!C24/1000+(RefTables!$F$49*RefTables!$F$57/RefTables!E24)*10^-6</f>
        <v>266.66263355879875</v>
      </c>
      <c r="D30" s="111">
        <f>-Inputs_SupplyCurve!T10*10^-6</f>
        <v>-17.091628128484885</v>
      </c>
      <c r="E30" s="111">
        <f>-(Inputs_SupplyCurve!U10+Inputs_SupplyCurve!V10)*10^-6-RefTables!C285</f>
        <v>-13.670192586939207</v>
      </c>
      <c r="F30" s="343">
        <f>Inputs_AnnualElectric!F17*10^-6</f>
        <v>195.06265999999999</v>
      </c>
      <c r="G30" s="346">
        <f t="shared" si="5"/>
        <v>0</v>
      </c>
      <c r="H30" s="279">
        <f t="shared" si="6"/>
        <v>430.96347284337463</v>
      </c>
      <c r="I30" s="77"/>
      <c r="J30" s="10">
        <v>2016</v>
      </c>
      <c r="K30" s="7">
        <f>C30*RefTables!$O140</f>
        <v>14.023318260131667</v>
      </c>
      <c r="L30" s="4">
        <f>D30*RefTables!$O140</f>
        <v>-0.89881862198256846</v>
      </c>
      <c r="M30" s="4">
        <f>E30*RefTables!$O140</f>
        <v>-0.71889135258866788</v>
      </c>
      <c r="N30" s="343">
        <f>Inputs_AnnualElectric!G17*10^-6</f>
        <v>18.304040511366146</v>
      </c>
      <c r="O30" s="346">
        <f>O9*RefTables!I166/1000</f>
        <v>0</v>
      </c>
      <c r="P30" s="343">
        <f t="shared" si="7"/>
        <v>30.709648796926576</v>
      </c>
      <c r="Q30" s="7" t="s">
        <v>561</v>
      </c>
      <c r="R30" s="359" t="s">
        <v>561</v>
      </c>
    </row>
    <row r="31" spans="2:26" x14ac:dyDescent="0.35">
      <c r="B31" s="10">
        <v>2017</v>
      </c>
      <c r="C31" s="7">
        <f>RefTables!C25/1000+(RefTables!$F$49*RefTables!$F$57/RefTables!E25)*10^-6</f>
        <v>269.91601236696005</v>
      </c>
      <c r="D31" s="111">
        <f>-Inputs_SupplyCurve!T11*10^-6</f>
        <v>-19.586736639191439</v>
      </c>
      <c r="E31" s="111">
        <f>-(Inputs_SupplyCurve!U11+Inputs_SupplyCurve!V11)*10^-6-RefTables!C286</f>
        <v>-15.378966660306608</v>
      </c>
      <c r="F31" s="343">
        <f>Inputs_AnnualElectric!F18*10^-6</f>
        <v>200.45116999999999</v>
      </c>
      <c r="G31" s="346">
        <f t="shared" si="5"/>
        <v>0</v>
      </c>
      <c r="H31" s="279">
        <f t="shared" si="6"/>
        <v>435.40147906746199</v>
      </c>
      <c r="I31" s="77"/>
      <c r="J31" s="10">
        <v>2017</v>
      </c>
      <c r="K31" s="7">
        <f>C31*RefTables!$O141</f>
        <v>14.194624727085387</v>
      </c>
      <c r="L31" s="4">
        <f>D31*RefTables!$O141</f>
        <v>-1.0300477314535521</v>
      </c>
      <c r="M31" s="4">
        <f>E31*RefTables!$O141</f>
        <v>-0.80876513593652766</v>
      </c>
      <c r="N31" s="343">
        <f>Inputs_AnnualElectric!G18*10^-6</f>
        <v>17.843294807616367</v>
      </c>
      <c r="O31" s="346">
        <f>O10*RefTables!I167/1000</f>
        <v>0</v>
      </c>
      <c r="P31" s="343">
        <f t="shared" si="7"/>
        <v>30.199106667311675</v>
      </c>
      <c r="Q31" s="7" t="s">
        <v>561</v>
      </c>
      <c r="R31" s="359" t="s">
        <v>561</v>
      </c>
    </row>
    <row r="32" spans="2:26" x14ac:dyDescent="0.35">
      <c r="B32" s="10">
        <v>2018</v>
      </c>
      <c r="C32" s="7">
        <f>RefTables!C26/1000+(RefTables!$F$49*RefTables!$F$57/RefTables!E26)*10^-6</f>
        <v>273.65353546042417</v>
      </c>
      <c r="D32" s="111">
        <f>-Inputs_SupplyCurve!T12*10^-6</f>
        <v>-21.682223169897995</v>
      </c>
      <c r="E32" s="111">
        <f>-(Inputs_SupplyCurve!U12+Inputs_SupplyCurve!V12)*10^-6-RefTables!C287</f>
        <v>-17.087740733674007</v>
      </c>
      <c r="F32" s="343">
        <f>Inputs_AnnualElectric!F19*10^-6</f>
        <v>199.11999</v>
      </c>
      <c r="G32" s="346">
        <f t="shared" si="5"/>
        <v>0</v>
      </c>
      <c r="H32" s="279">
        <f t="shared" si="6"/>
        <v>434.00356155685216</v>
      </c>
      <c r="I32" s="77"/>
      <c r="J32" s="10">
        <v>2018</v>
      </c>
      <c r="K32" s="7">
        <f>C32*RefTables!$O142</f>
        <v>14.392299716320712</v>
      </c>
      <c r="L32" s="4">
        <f>D32*RefTables!$O142</f>
        <v>-1.1403362790555105</v>
      </c>
      <c r="M32" s="4">
        <f>E32*RefTables!$O142</f>
        <v>-0.8986980040292043</v>
      </c>
      <c r="N32" s="343">
        <f>Inputs_AnnualElectric!G19*10^-6</f>
        <v>17.105871258966395</v>
      </c>
      <c r="O32" s="346">
        <f>O11*RefTables!I168/1000</f>
        <v>0</v>
      </c>
      <c r="P32" s="343">
        <f t="shared" si="7"/>
        <v>29.459136692202392</v>
      </c>
      <c r="Q32" s="7" t="s">
        <v>561</v>
      </c>
      <c r="R32" s="359" t="s">
        <v>561</v>
      </c>
    </row>
    <row r="33" spans="2:18" x14ac:dyDescent="0.35">
      <c r="B33" s="10">
        <v>2019</v>
      </c>
      <c r="C33" s="7">
        <f>RefTables!C27/1000+(RefTables!$F$49*RefTables!$F$57/RefTables!E27)*10^-6</f>
        <v>277.53709599613234</v>
      </c>
      <c r="D33" s="111">
        <f>-Inputs_SupplyCurve!T13*10^-6</f>
        <v>-23.618286660152062</v>
      </c>
      <c r="E33" s="111">
        <f>-(Inputs_SupplyCurve!U13+Inputs_SupplyCurve!V13)*10^-6-RefTables!C288</f>
        <v>-18.796514807041408</v>
      </c>
      <c r="F33" s="343">
        <f>Inputs_AnnualElectric!F20*10^-6</f>
        <v>205.01702</v>
      </c>
      <c r="G33" s="346">
        <f t="shared" si="5"/>
        <v>0</v>
      </c>
      <c r="H33" s="279">
        <f t="shared" si="6"/>
        <v>440.13931452893888</v>
      </c>
      <c r="I33" s="77"/>
      <c r="J33" s="10">
        <v>2019</v>
      </c>
      <c r="K33" s="7">
        <f>C33*RefTables!$O143</f>
        <v>14.597233580002769</v>
      </c>
      <c r="L33" s="4">
        <f>D33*RefTables!$O143</f>
        <v>-1.2422182551859935</v>
      </c>
      <c r="M33" s="4">
        <f>E33*RefTables!$O143</f>
        <v>-0.98861421080873357</v>
      </c>
      <c r="N33" s="343">
        <f>Inputs_AnnualElectric!G20*10^-6</f>
        <v>17.407429797873675</v>
      </c>
      <c r="O33" s="346">
        <f>O12*RefTables!I169/1000</f>
        <v>0</v>
      </c>
      <c r="P33" s="343">
        <f t="shared" si="7"/>
        <v>29.773830911881717</v>
      </c>
      <c r="Q33" s="7" t="s">
        <v>561</v>
      </c>
      <c r="R33" s="359" t="s">
        <v>561</v>
      </c>
    </row>
    <row r="34" spans="2:18" x14ac:dyDescent="0.35">
      <c r="B34" s="10">
        <v>2020</v>
      </c>
      <c r="C34" s="7">
        <f>RefTables!C28/1000+(RefTables!$F$49*RefTables!$F$57/RefTables!E28)*10^-6</f>
        <v>278.89570810406974</v>
      </c>
      <c r="D34" s="111">
        <f>-Inputs_SupplyCurve!T14*10^-6</f>
        <v>-25.635616580858617</v>
      </c>
      <c r="E34" s="111">
        <f>-(Inputs_SupplyCurve!U14+Inputs_SupplyCurve!V14)*10^-6-RefTables!C289</f>
        <v>-20.505288880408809</v>
      </c>
      <c r="F34" s="343">
        <f>Inputs_AnnualElectric!F21*10^-6</f>
        <v>290.60372999999998</v>
      </c>
      <c r="G34" s="346">
        <f t="shared" si="5"/>
        <v>0</v>
      </c>
      <c r="H34" s="279">
        <f t="shared" si="6"/>
        <v>523.35853264280229</v>
      </c>
      <c r="I34" s="77"/>
      <c r="J34" s="10">
        <v>2020</v>
      </c>
      <c r="K34" s="7">
        <f>C34*RefTables!$O144</f>
        <v>14.669979949578757</v>
      </c>
      <c r="L34" s="4">
        <f>D34*RefTables!$O144</f>
        <v>-1.3484394714885783</v>
      </c>
      <c r="M34" s="4">
        <f>E34*RefTables!$O144</f>
        <v>-1.0785830258229345</v>
      </c>
      <c r="N34" s="343">
        <f>Inputs_AnnualElectric!G21*10^-6</f>
        <v>17.222135075094062</v>
      </c>
      <c r="O34" s="346">
        <f>O13*RefTables!I170/1000</f>
        <v>0</v>
      </c>
      <c r="P34" s="238">
        <f t="shared" si="7"/>
        <v>29.465092527361307</v>
      </c>
      <c r="Q34" s="7">
        <f>RefTables!$F$227</f>
        <v>23.326496260794567</v>
      </c>
      <c r="R34" s="360" t="str">
        <f>IF(P34&lt;=Q34,"Yes","No")</f>
        <v>No</v>
      </c>
    </row>
    <row r="35" spans="2:18" x14ac:dyDescent="0.35">
      <c r="B35" s="10">
        <v>2021</v>
      </c>
      <c r="C35" s="7">
        <f>RefTables!C29/1000+(RefTables!$F$49*RefTables!$F$57/RefTables!E29)*10^-6</f>
        <v>280.26111327254694</v>
      </c>
      <c r="D35" s="111">
        <f>-Inputs_SupplyCurve!T15*10^-6</f>
        <v>-27.052987367565176</v>
      </c>
      <c r="E35" s="111">
        <f>-(Inputs_SupplyCurve!U15+Inputs_SupplyCurve!V15)*10^-6-RefTables!C290</f>
        <v>-21.902927372914633</v>
      </c>
      <c r="F35" s="343">
        <f>Inputs_AnnualElectric!F22*10^-6</f>
        <v>302.77769999999998</v>
      </c>
      <c r="G35" s="346">
        <f t="shared" si="5"/>
        <v>0</v>
      </c>
      <c r="H35" s="279">
        <f t="shared" si="6"/>
        <v>534.08289853206713</v>
      </c>
      <c r="I35" s="77"/>
      <c r="J35" s="10">
        <v>2021</v>
      </c>
      <c r="K35" s="7">
        <f>C35*RefTables!$O145</f>
        <v>14.744523354157211</v>
      </c>
      <c r="L35" s="4">
        <f>D35*RefTables!$O145</f>
        <v>-1.4232563318653508</v>
      </c>
      <c r="M35" s="4">
        <f>E35*RefTables!$O145</f>
        <v>-1.1523119294123763</v>
      </c>
      <c r="N35" s="343">
        <f>Inputs_AnnualElectric!G22*10^-6</f>
        <v>17.005940020828774</v>
      </c>
      <c r="O35" s="346">
        <f>O14*RefTables!I171/1000</f>
        <v>0</v>
      </c>
      <c r="P35" s="343">
        <f t="shared" si="7"/>
        <v>29.17489511370826</v>
      </c>
      <c r="Q35" s="7" t="s">
        <v>561</v>
      </c>
      <c r="R35" s="359" t="s">
        <v>561</v>
      </c>
    </row>
    <row r="36" spans="2:18" x14ac:dyDescent="0.35">
      <c r="B36" s="10">
        <v>2022</v>
      </c>
      <c r="C36" s="7">
        <f>RefTables!C30/1000+(RefTables!$F$49*RefTables!$F$57/RefTables!E30)*10^-6</f>
        <v>281.63334546686644</v>
      </c>
      <c r="D36" s="111">
        <f>-Inputs_SupplyCurve!T16*10^-6</f>
        <v>-28.468973174548733</v>
      </c>
      <c r="E36" s="111">
        <f>-(Inputs_SupplyCurve!U16+Inputs_SupplyCurve!V16)*10^-6-RefTables!C291</f>
        <v>-23.300565865420459</v>
      </c>
      <c r="F36" s="343">
        <f>Inputs_AnnualElectric!F23*10^-6</f>
        <v>299.74991999999997</v>
      </c>
      <c r="G36" s="346">
        <f t="shared" si="5"/>
        <v>0</v>
      </c>
      <c r="H36" s="279">
        <f t="shared" si="6"/>
        <v>529.6137264268973</v>
      </c>
      <c r="I36" s="77"/>
      <c r="J36" s="10">
        <v>2022</v>
      </c>
      <c r="K36" s="7">
        <f>C36*RefTables!$O146</f>
        <v>14.820700159149807</v>
      </c>
      <c r="L36" s="4">
        <f>D36*RefTables!$O146</f>
        <v>-1.4981539723551844</v>
      </c>
      <c r="M36" s="4">
        <f>E36*RefTables!$O146</f>
        <v>-1.2261712108609133</v>
      </c>
      <c r="N36" s="343">
        <f>Inputs_AnnualElectric!G23*10^-6</f>
        <v>16.646544950921871</v>
      </c>
      <c r="O36" s="346">
        <f>O15*RefTables!I172/1000</f>
        <v>0</v>
      </c>
      <c r="P36" s="343">
        <f t="shared" si="7"/>
        <v>28.742919926855578</v>
      </c>
      <c r="Q36" s="7" t="s">
        <v>561</v>
      </c>
      <c r="R36" s="359" t="s">
        <v>561</v>
      </c>
    </row>
    <row r="37" spans="2:18" x14ac:dyDescent="0.35">
      <c r="B37" s="10">
        <v>2023</v>
      </c>
      <c r="C37" s="7">
        <f>RefTables!C31/1000+(RefTables!$F$49*RefTables!$F$57/RefTables!E31)*10^-6</f>
        <v>283.01243882215761</v>
      </c>
      <c r="D37" s="111">
        <f>-Inputs_SupplyCurve!T17*10^-6</f>
        <v>-29.125728491427559</v>
      </c>
      <c r="E37" s="111">
        <f>-(Inputs_SupplyCurve!U17+Inputs_SupplyCurve!V17)*10^-6-RefTables!C292</f>
        <v>-24.698204357926286</v>
      </c>
      <c r="F37" s="343">
        <f>Inputs_AnnualElectric!F24*10^-6</f>
        <v>298.92831000000001</v>
      </c>
      <c r="G37" s="346">
        <f t="shared" si="5"/>
        <v>0</v>
      </c>
      <c r="H37" s="279">
        <f t="shared" si="6"/>
        <v>528.11681597280381</v>
      </c>
      <c r="I37" s="77"/>
      <c r="J37" s="10">
        <v>2023</v>
      </c>
      <c r="K37" s="7">
        <f>C37*RefTables!$O147</f>
        <v>14.898140021790372</v>
      </c>
      <c r="L37" s="4">
        <f>D37*RefTables!$O147</f>
        <v>-1.5332159360479836</v>
      </c>
      <c r="M37" s="4">
        <f>E37*RefTables!$O147</f>
        <v>-1.3001453517115549</v>
      </c>
      <c r="N37" s="343">
        <f>Inputs_AnnualElectric!G24*10^-6</f>
        <v>16.724236943222401</v>
      </c>
      <c r="O37" s="346">
        <f>O16*RefTables!I173/1000</f>
        <v>0</v>
      </c>
      <c r="P37" s="343">
        <f t="shared" si="7"/>
        <v>28.789015677253232</v>
      </c>
      <c r="Q37" s="7" t="s">
        <v>561</v>
      </c>
      <c r="R37" s="359" t="s">
        <v>561</v>
      </c>
    </row>
    <row r="38" spans="2:18" x14ac:dyDescent="0.35">
      <c r="B38" s="10">
        <v>2024</v>
      </c>
      <c r="C38" s="7">
        <f>RefTables!C32/1000+(RefTables!$F$49*RefTables!$F$57/RefTables!E32)*10^-6</f>
        <v>284.39842764422514</v>
      </c>
      <c r="D38" s="111">
        <f>-Inputs_SupplyCurve!T18*10^-6</f>
        <v>-29.983280079358845</v>
      </c>
      <c r="E38" s="111">
        <f>-(Inputs_SupplyCurve!U18+Inputs_SupplyCurve!V18)*10^-6-RefTables!C293</f>
        <v>-26.095842850432113</v>
      </c>
      <c r="F38" s="343">
        <f>Inputs_AnnualElectric!F25*10^-6</f>
        <v>295.31083999999998</v>
      </c>
      <c r="G38" s="346">
        <f t="shared" si="5"/>
        <v>0</v>
      </c>
      <c r="H38" s="279">
        <f t="shared" si="6"/>
        <v>523.63014471443421</v>
      </c>
      <c r="I38" s="77"/>
      <c r="J38" s="10">
        <v>2024</v>
      </c>
      <c r="K38" s="7">
        <f>C38*RefTables!$O148</f>
        <v>14.978332305599096</v>
      </c>
      <c r="L38" s="4">
        <f>D38*RefTables!$O148</f>
        <v>-1.5791210111832896</v>
      </c>
      <c r="M38" s="4">
        <f>E38*RefTables!$O148</f>
        <v>-1.3743824438348697</v>
      </c>
      <c r="N38" s="343">
        <f>Inputs_AnnualElectric!G25*10^-6</f>
        <v>16.548674376670508</v>
      </c>
      <c r="O38" s="346">
        <f>O17*RefTables!I174/1000</f>
        <v>0</v>
      </c>
      <c r="P38" s="343">
        <f t="shared" si="7"/>
        <v>28.573503227251443</v>
      </c>
      <c r="Q38" s="7" t="s">
        <v>561</v>
      </c>
      <c r="R38" s="359" t="s">
        <v>561</v>
      </c>
    </row>
    <row r="39" spans="2:18" x14ac:dyDescent="0.35">
      <c r="B39" s="10">
        <v>2025</v>
      </c>
      <c r="C39" s="7">
        <f>RefTables!C33/1000+(RefTables!$F$49*RefTables!$F$57/RefTables!E33)*10^-6</f>
        <v>285.79134641040304</v>
      </c>
      <c r="D39" s="111">
        <f>-Inputs_SupplyCurve!T19*10^-6</f>
        <v>-30.728406772124394</v>
      </c>
      <c r="E39" s="111">
        <f>-(Inputs_SupplyCurve!U19+Inputs_SupplyCurve!V19)*10^-6-RefTables!C294</f>
        <v>-27.49348134293794</v>
      </c>
      <c r="F39" s="343">
        <f>Inputs_AnnualElectric!F26*10^-6</f>
        <v>296.58148999999997</v>
      </c>
      <c r="G39" s="346">
        <f t="shared" si="5"/>
        <v>0</v>
      </c>
      <c r="H39" s="279">
        <f t="shared" si="6"/>
        <v>524.15094829534064</v>
      </c>
      <c r="I39" s="77"/>
      <c r="J39" s="10">
        <v>2025</v>
      </c>
      <c r="K39" s="7">
        <f>C39*RefTables!$O149</f>
        <v>15.060203172349356</v>
      </c>
      <c r="L39" s="4">
        <f>D39*RefTables!$O149</f>
        <v>-1.6192794322268669</v>
      </c>
      <c r="M39" s="4">
        <f>E39*RefTables!$O149</f>
        <v>-1.4488101901631609</v>
      </c>
      <c r="N39" s="343">
        <f>Inputs_AnnualElectric!G26*10^-6</f>
        <v>16.724064097356898</v>
      </c>
      <c r="O39" s="346">
        <f>O18*RefTables!I175/1000</f>
        <v>0</v>
      </c>
      <c r="P39" s="343">
        <f t="shared" si="7"/>
        <v>28.716177647316226</v>
      </c>
      <c r="Q39" s="7" t="s">
        <v>561</v>
      </c>
      <c r="R39" s="359" t="s">
        <v>561</v>
      </c>
    </row>
    <row r="40" spans="2:18" x14ac:dyDescent="0.35">
      <c r="B40" s="10">
        <v>2026</v>
      </c>
      <c r="C40" s="7">
        <f>RefTables!C34/1000+(RefTables!$F$49*RefTables!$F$57/RefTables!E34)*10^-6</f>
        <v>287.19122977041189</v>
      </c>
      <c r="D40" s="111">
        <f>-Inputs_SupplyCurve!T20*10^-6</f>
        <v>-31.426386723627939</v>
      </c>
      <c r="E40" s="111">
        <f>-(Inputs_SupplyCurve!U20+Inputs_SupplyCurve!V20)*10^-6-RefTables!C295</f>
        <v>-28.891119835443767</v>
      </c>
      <c r="F40" s="343">
        <f>Inputs_AnnualElectric!F27*10^-6</f>
        <v>298.81979000000001</v>
      </c>
      <c r="G40" s="346">
        <f t="shared" si="5"/>
        <v>0</v>
      </c>
      <c r="H40" s="279">
        <f t="shared" si="6"/>
        <v>525.69351321134025</v>
      </c>
      <c r="I40" s="77"/>
      <c r="J40" s="10">
        <v>2026</v>
      </c>
      <c r="K40" s="7">
        <f>C40*RefTables!$O150</f>
        <v>15.1445745280541</v>
      </c>
      <c r="L40" s="4">
        <f>D40*RefTables!$O150</f>
        <v>-1.6572207175821887</v>
      </c>
      <c r="M40" s="4">
        <f>E40*RefTables!$O150</f>
        <v>-1.5235274346525276</v>
      </c>
      <c r="N40" s="343">
        <f>Inputs_AnnualElectric!G27*10^-6</f>
        <v>16.599412294871751</v>
      </c>
      <c r="O40" s="346">
        <f>O19*RefTables!I176/1000</f>
        <v>0</v>
      </c>
      <c r="P40" s="343">
        <f t="shared" si="7"/>
        <v>28.563238670691135</v>
      </c>
      <c r="Q40" s="7" t="s">
        <v>561</v>
      </c>
      <c r="R40" s="359" t="s">
        <v>561</v>
      </c>
    </row>
    <row r="41" spans="2:18" x14ac:dyDescent="0.35">
      <c r="B41" s="10">
        <v>2027</v>
      </c>
      <c r="C41" s="7">
        <f>RefTables!C35/1000+(RefTables!$F$49*RefTables!$F$57/RefTables!E35)*10^-6</f>
        <v>288.59811254722075</v>
      </c>
      <c r="D41" s="111">
        <f>-Inputs_SupplyCurve!T21*10^-6</f>
        <v>-31.803543473251491</v>
      </c>
      <c r="E41" s="111">
        <f>-(Inputs_SupplyCurve!U21+Inputs_SupplyCurve!V21)*10^-6-RefTables!C296</f>
        <v>-30.288758327949594</v>
      </c>
      <c r="F41" s="343">
        <f>Inputs_AnnualElectric!F28*10^-6</f>
        <v>296.12811999999997</v>
      </c>
      <c r="G41" s="346">
        <f t="shared" si="5"/>
        <v>0</v>
      </c>
      <c r="H41" s="279">
        <f t="shared" si="6"/>
        <v>522.63393074601959</v>
      </c>
      <c r="I41" s="77"/>
      <c r="J41" s="10">
        <v>2027</v>
      </c>
      <c r="K41" s="7">
        <f>C41*RefTables!$O151</f>
        <v>15.228800504361317</v>
      </c>
      <c r="L41" s="4">
        <f>D41*RefTables!$O151</f>
        <v>-1.6782154762245118</v>
      </c>
      <c r="M41" s="4">
        <f>E41*RefTables!$O151</f>
        <v>-1.5982830034125213</v>
      </c>
      <c r="N41" s="343">
        <f>Inputs_AnnualElectric!G28*10^-6</f>
        <v>16.650312137628855</v>
      </c>
      <c r="O41" s="346">
        <f>O20*RefTables!I177/1000</f>
        <v>0</v>
      </c>
      <c r="P41" s="343">
        <f t="shared" si="7"/>
        <v>28.602614162353138</v>
      </c>
      <c r="Q41" s="7" t="s">
        <v>561</v>
      </c>
      <c r="R41" s="359" t="s">
        <v>561</v>
      </c>
    </row>
    <row r="42" spans="2:18" x14ac:dyDescent="0.35">
      <c r="B42" s="10">
        <v>2028</v>
      </c>
      <c r="C42" s="7">
        <f>RefTables!C36/1000+(RefTables!$F$49*RefTables!$F$57/RefTables!E36)*10^-6</f>
        <v>290.01202973791362</v>
      </c>
      <c r="D42" s="111">
        <f>-Inputs_SupplyCurve!T22*10^-6</f>
        <v>-32.222571702737888</v>
      </c>
      <c r="E42" s="111">
        <f>-(Inputs_SupplyCurve!U22+Inputs_SupplyCurve!V22)*10^-6-RefTables!C297</f>
        <v>-31.686396820455421</v>
      </c>
      <c r="F42" s="343">
        <f>Inputs_AnnualElectric!F29*10^-6</f>
        <v>295.54521999999997</v>
      </c>
      <c r="G42" s="346">
        <f t="shared" si="5"/>
        <v>0</v>
      </c>
      <c r="H42" s="279">
        <f t="shared" si="6"/>
        <v>521.64828121472033</v>
      </c>
      <c r="I42" s="77"/>
      <c r="J42" s="10">
        <v>2028</v>
      </c>
      <c r="K42" s="7">
        <f>C42*RefTables!$O152</f>
        <v>15.322748535150183</v>
      </c>
      <c r="L42" s="4">
        <f>D42*RefTables!$O152</f>
        <v>-1.7024754587011246</v>
      </c>
      <c r="M42" s="4">
        <f>E42*RefTables!$O152</f>
        <v>-1.6741467273050423</v>
      </c>
      <c r="N42" s="343">
        <f>Inputs_AnnualElectric!G29*10^-6</f>
        <v>16.807895213404461</v>
      </c>
      <c r="O42" s="346">
        <f>O21*RefTables!I178/1000</f>
        <v>0</v>
      </c>
      <c r="P42" s="343">
        <f t="shared" si="7"/>
        <v>28.754021562548477</v>
      </c>
      <c r="Q42" s="7" t="s">
        <v>561</v>
      </c>
      <c r="R42" s="359" t="s">
        <v>561</v>
      </c>
    </row>
    <row r="43" spans="2:18" x14ac:dyDescent="0.35">
      <c r="B43" s="10">
        <v>2029</v>
      </c>
      <c r="C43" s="7">
        <f>RefTables!C37/1000+(RefTables!$F$49*RefTables!$F$57/RefTables!E37)*10^-6</f>
        <v>291.43301651455999</v>
      </c>
      <c r="D43" s="111">
        <f>-Inputs_SupplyCurve!T23*10^-6</f>
        <v>-32.385060664157564</v>
      </c>
      <c r="E43" s="111">
        <f>-(Inputs_SupplyCurve!U23+Inputs_SupplyCurve!V23)*10^-6-RefTables!C298</f>
        <v>-33.084035312961248</v>
      </c>
      <c r="F43" s="343">
        <f>Inputs_AnnualElectric!F30*10^-6</f>
        <v>296.79642999999999</v>
      </c>
      <c r="G43" s="346">
        <f t="shared" si="5"/>
        <v>0</v>
      </c>
      <c r="H43" s="279">
        <f t="shared" si="6"/>
        <v>522.76035053744113</v>
      </c>
      <c r="I43" s="77"/>
      <c r="J43" s="10">
        <v>2029</v>
      </c>
      <c r="K43" s="7">
        <f>C43*RefTables!$O153</f>
        <v>15.419922484150035</v>
      </c>
      <c r="L43" s="4">
        <f>D43*RefTables!$O153</f>
        <v>-1.7135159600588952</v>
      </c>
      <c r="M43" s="4">
        <f>E43*RefTables!$O153</f>
        <v>-1.7504991921986219</v>
      </c>
      <c r="N43" s="343">
        <f>Inputs_AnnualElectric!G30*10^-6</f>
        <v>17.176727050138702</v>
      </c>
      <c r="O43" s="346">
        <f>O22*RefTables!I179/1000</f>
        <v>0</v>
      </c>
      <c r="P43" s="343">
        <f t="shared" si="7"/>
        <v>29.13263438203122</v>
      </c>
      <c r="Q43" s="7" t="s">
        <v>561</v>
      </c>
      <c r="R43" s="359" t="s">
        <v>561</v>
      </c>
    </row>
    <row r="44" spans="2:18" ht="19.5" customHeight="1" thickBot="1" x14ac:dyDescent="0.4">
      <c r="B44" s="11">
        <v>2030</v>
      </c>
      <c r="C44" s="12">
        <f>RefTables!C38/1000+(RefTables!$F$49*RefTables!$F$57/RefTables!E38)*10^-6</f>
        <v>292.86110822508959</v>
      </c>
      <c r="D44" s="112">
        <f>-Inputs_SupplyCurve!T24*10^-6</f>
        <v>-32.476279534409336</v>
      </c>
      <c r="E44" s="112">
        <f>-(Inputs_SupplyCurve!U24+Inputs_SupplyCurve!V24)*10^-6-RefTables!C299</f>
        <v>-34.481673805467061</v>
      </c>
      <c r="F44" s="344">
        <f>Inputs_AnnualElectric!F31*10^-6</f>
        <v>294.49991999999997</v>
      </c>
      <c r="G44" s="347">
        <f t="shared" si="5"/>
        <v>0</v>
      </c>
      <c r="H44" s="280">
        <f t="shared" si="6"/>
        <v>520.40307488521319</v>
      </c>
      <c r="I44" s="77"/>
      <c r="J44" s="11">
        <v>2030</v>
      </c>
      <c r="K44" s="12">
        <f>C44*RefTables!$O154</f>
        <v>15.520942419121136</v>
      </c>
      <c r="L44" s="13">
        <f>D44*RefTables!$O154</f>
        <v>-1.7211655985861838</v>
      </c>
      <c r="M44" s="13">
        <f>E44*RefTables!$O154</f>
        <v>-1.8274467268567207</v>
      </c>
      <c r="N44" s="344">
        <f>Inputs_AnnualElectric!G31*10^-6</f>
        <v>16.848896444437607</v>
      </c>
      <c r="O44" s="347">
        <f>O23*RefTables!I180/1000</f>
        <v>0</v>
      </c>
      <c r="P44" s="239">
        <f t="shared" si="7"/>
        <v>28.821226538115837</v>
      </c>
      <c r="Q44" s="12">
        <f>RefTables!$G$227</f>
        <v>18.676721162166132</v>
      </c>
      <c r="R44" s="361" t="str">
        <f>IF(P44&lt;=Q44,"Yes","No")</f>
        <v>No</v>
      </c>
    </row>
    <row r="45" spans="2:18" ht="18" thickBot="1" x14ac:dyDescent="0.4">
      <c r="C45" s="184"/>
      <c r="D45" s="184"/>
      <c r="E45" s="184"/>
      <c r="F45" s="184"/>
      <c r="H45" s="184"/>
    </row>
    <row r="46" spans="2:18" ht="19.5" customHeight="1" x14ac:dyDescent="0.4">
      <c r="B46" s="444" t="s">
        <v>266</v>
      </c>
      <c r="C46" s="448" t="s">
        <v>438</v>
      </c>
      <c r="D46" s="449"/>
      <c r="E46" s="449"/>
      <c r="F46" s="449"/>
      <c r="G46" s="449"/>
      <c r="H46" s="449"/>
      <c r="I46" s="449"/>
      <c r="J46" s="449"/>
      <c r="K46" s="449"/>
      <c r="L46" s="450"/>
      <c r="M46" s="448" t="s">
        <v>439</v>
      </c>
      <c r="N46" s="449"/>
      <c r="O46" s="449"/>
      <c r="P46" s="450"/>
      <c r="Q46" s="442" t="s">
        <v>426</v>
      </c>
    </row>
    <row r="47" spans="2:18" ht="52.5" thickBot="1" x14ac:dyDescent="0.4">
      <c r="B47" s="445"/>
      <c r="C47" s="151" t="s">
        <v>456</v>
      </c>
      <c r="D47" s="152" t="s">
        <v>425</v>
      </c>
      <c r="E47" s="152" t="s">
        <v>424</v>
      </c>
      <c r="F47" s="152" t="s">
        <v>349</v>
      </c>
      <c r="G47" s="152" t="s">
        <v>329</v>
      </c>
      <c r="H47" s="152" t="s">
        <v>328</v>
      </c>
      <c r="I47" s="152" t="s">
        <v>267</v>
      </c>
      <c r="J47" s="152" t="s">
        <v>107</v>
      </c>
      <c r="K47" s="152" t="s">
        <v>106</v>
      </c>
      <c r="L47" s="152" t="s">
        <v>1</v>
      </c>
      <c r="M47" s="151" t="s">
        <v>20</v>
      </c>
      <c r="N47" s="152" t="s">
        <v>429</v>
      </c>
      <c r="O47" s="152" t="s">
        <v>430</v>
      </c>
      <c r="P47" s="153" t="s">
        <v>1</v>
      </c>
      <c r="Q47" s="443"/>
    </row>
    <row r="48" spans="2:18" x14ac:dyDescent="0.35">
      <c r="B48" s="9">
        <v>2015</v>
      </c>
      <c r="C48" s="286">
        <f>(C29+SUM(D29:E29))*RefTables!$F189</f>
        <v>873.07298178946098</v>
      </c>
      <c r="D48" s="283">
        <f>Inputs_SupplyCurve!C9</f>
        <v>137.59396913152196</v>
      </c>
      <c r="E48" s="283">
        <f>Inputs_SupplyCurve!F9</f>
        <v>506.56634289154363</v>
      </c>
      <c r="F48" s="283">
        <f>Inputs_SupplyCurve!G9</f>
        <v>97.003539999999987</v>
      </c>
      <c r="G48" s="283">
        <f>SUMIFS(PriceSpikes!$L$7:$L$198,PriceSpikes!$B$7:$B$198,B48)</f>
        <v>0</v>
      </c>
      <c r="H48" s="283">
        <f>BalancingMeasures!$M$15*S8*10^-6</f>
        <v>0</v>
      </c>
      <c r="I48" s="283">
        <f>Inputs_AnnualElectric!H16</f>
        <v>1770.1352174727367</v>
      </c>
      <c r="J48" s="283">
        <f>T8*BalancingMeasures!$I$10*10^-6</f>
        <v>0.252</v>
      </c>
      <c r="K48" s="283">
        <f>U8*BalancingMeasures!$J$9/1000</f>
        <v>12.051</v>
      </c>
      <c r="L48" s="283">
        <f t="shared" ref="L48:L63" si="8">SUM(C48:K48)</f>
        <v>3396.6750512852632</v>
      </c>
      <c r="M48" s="286">
        <f>Inputs_SupplyCurve!D9</f>
        <v>0</v>
      </c>
      <c r="N48" s="283">
        <f>Inputs_SupplyCurve!E9</f>
        <v>0</v>
      </c>
      <c r="O48" s="283"/>
      <c r="P48" s="18">
        <f>SUM(M48:O48)</f>
        <v>0</v>
      </c>
      <c r="Q48" s="289">
        <f>L48-S1_BaseRefNGNoHydro!L48+P48</f>
        <v>-411.28127599780237</v>
      </c>
      <c r="R48" s="83"/>
    </row>
    <row r="49" spans="2:18" x14ac:dyDescent="0.35">
      <c r="B49" s="10">
        <v>2016</v>
      </c>
      <c r="C49" s="287">
        <f>(C30+SUM(D30:E30))*RefTables!$F190</f>
        <v>957.23011343656367</v>
      </c>
      <c r="D49" s="284">
        <f>Inputs_SupplyCurve!C10</f>
        <v>158.43774250624335</v>
      </c>
      <c r="E49" s="284">
        <f>Inputs_SupplyCurve!F10</f>
        <v>577.06381397490384</v>
      </c>
      <c r="F49" s="284">
        <f>Inputs_SupplyCurve!G10</f>
        <v>0</v>
      </c>
      <c r="G49" s="284">
        <f>SUMIFS(PriceSpikes!$L$7:$L$198,PriceSpikes!$B$7:$B$198,B49)</f>
        <v>-4.3339300554779019E-2</v>
      </c>
      <c r="H49" s="284">
        <f>BalancingMeasures!$M$15*S9*10^-6</f>
        <v>0</v>
      </c>
      <c r="I49" s="284">
        <f>Inputs_AnnualElectric!H17</f>
        <v>1849.6801863210389</v>
      </c>
      <c r="J49" s="284">
        <f>T9*BalancingMeasures!$I$10*10^-6</f>
        <v>0</v>
      </c>
      <c r="K49" s="284">
        <f>U9*BalancingMeasures!$J$9/1000</f>
        <v>0</v>
      </c>
      <c r="L49" s="284">
        <f t="shared" si="8"/>
        <v>3542.3685169381952</v>
      </c>
      <c r="M49" s="287">
        <f>Inputs_SupplyCurve!D10</f>
        <v>0</v>
      </c>
      <c r="N49" s="284">
        <f>Inputs_SupplyCurve!E10</f>
        <v>0</v>
      </c>
      <c r="O49" s="284"/>
      <c r="P49" s="19">
        <f t="shared" ref="P49:P63" si="9">SUM(M49:O49)</f>
        <v>0</v>
      </c>
      <c r="Q49" s="290">
        <f>L49-S1_BaseRefNGNoHydro!L49+P49</f>
        <v>-464.49492836188438</v>
      </c>
      <c r="R49" s="83"/>
    </row>
    <row r="50" spans="2:18" x14ac:dyDescent="0.35">
      <c r="B50" s="10">
        <v>2017</v>
      </c>
      <c r="C50" s="287">
        <f>(C31+SUM(D31:E31))*RefTables!$F191</f>
        <v>952.42231162450935</v>
      </c>
      <c r="D50" s="284">
        <f>Inputs_SupplyCurve!C11</f>
        <v>181.09848073679791</v>
      </c>
      <c r="E50" s="284">
        <f>Inputs_SupplyCurve!F11</f>
        <v>641.34409344592439</v>
      </c>
      <c r="F50" s="284">
        <f>Inputs_SupplyCurve!G11</f>
        <v>0</v>
      </c>
      <c r="G50" s="284">
        <f>SUMIFS(PriceSpikes!$L$7:$L$198,PriceSpikes!$B$7:$B$198,B50)</f>
        <v>0</v>
      </c>
      <c r="H50" s="284">
        <f>BalancingMeasures!$M$15*S10*10^-6</f>
        <v>0</v>
      </c>
      <c r="I50" s="284">
        <f>Inputs_AnnualElectric!H18</f>
        <v>2238.9522640752789</v>
      </c>
      <c r="J50" s="284">
        <f>T10*BalancingMeasures!$I$10*10^-6</f>
        <v>0</v>
      </c>
      <c r="K50" s="284">
        <f>U10*BalancingMeasures!$J$9/1000</f>
        <v>0</v>
      </c>
      <c r="L50" s="284">
        <f t="shared" si="8"/>
        <v>4013.8171498825104</v>
      </c>
      <c r="M50" s="287">
        <f>Inputs_SupplyCurve!D11</f>
        <v>0</v>
      </c>
      <c r="N50" s="284">
        <f>Inputs_SupplyCurve!E11</f>
        <v>0</v>
      </c>
      <c r="O50" s="284"/>
      <c r="P50" s="19">
        <f t="shared" si="9"/>
        <v>0</v>
      </c>
      <c r="Q50" s="290">
        <f>L50-S1_BaseRefNGNoHydro!L50+P50</f>
        <v>-72.057926208210574</v>
      </c>
      <c r="R50" s="83"/>
    </row>
    <row r="51" spans="2:18" x14ac:dyDescent="0.35">
      <c r="B51" s="10">
        <v>2018</v>
      </c>
      <c r="C51" s="287">
        <f>(C32+SUM(D32:E32))*RefTables!$F192</f>
        <v>1002.0038946670783</v>
      </c>
      <c r="D51" s="284">
        <f>Inputs_SupplyCurve!C12</f>
        <v>198.9677444287926</v>
      </c>
      <c r="E51" s="284">
        <f>Inputs_SupplyCurve!F12</f>
        <v>694.85393021720154</v>
      </c>
      <c r="F51" s="284">
        <f>Inputs_SupplyCurve!G12</f>
        <v>0</v>
      </c>
      <c r="G51" s="284">
        <f>SUMIFS(PriceSpikes!$L$7:$L$198,PriceSpikes!$B$7:$B$198,B51)</f>
        <v>0</v>
      </c>
      <c r="H51" s="284">
        <f>BalancingMeasures!$M$15*S11*10^-6</f>
        <v>0</v>
      </c>
      <c r="I51" s="284">
        <f>Inputs_AnnualElectric!H19</f>
        <v>2290.2390661060663</v>
      </c>
      <c r="J51" s="284">
        <f>T11*BalancingMeasures!$I$10*10^-6</f>
        <v>0</v>
      </c>
      <c r="K51" s="284">
        <f>U11*BalancingMeasures!$J$9/1000</f>
        <v>0</v>
      </c>
      <c r="L51" s="284">
        <f t="shared" si="8"/>
        <v>4186.0646354191385</v>
      </c>
      <c r="M51" s="287">
        <f>Inputs_SupplyCurve!D12</f>
        <v>0</v>
      </c>
      <c r="N51" s="284">
        <f>Inputs_SupplyCurve!E12</f>
        <v>0</v>
      </c>
      <c r="O51" s="284"/>
      <c r="P51" s="19">
        <f t="shared" si="9"/>
        <v>0</v>
      </c>
      <c r="Q51" s="290">
        <f>L51-S1_BaseRefNGNoHydro!L51+P51</f>
        <v>-114.58207474728806</v>
      </c>
      <c r="R51" s="83"/>
    </row>
    <row r="52" spans="2:18" x14ac:dyDescent="0.35">
      <c r="B52" s="10">
        <v>2019</v>
      </c>
      <c r="C52" s="287">
        <f>(C33+SUM(D33:E33))*RefTables!$F193</f>
        <v>973.74760925983696</v>
      </c>
      <c r="D52" s="284">
        <f>Inputs_SupplyCurve!C13</f>
        <v>214.92552307387393</v>
      </c>
      <c r="E52" s="284">
        <f>Inputs_SupplyCurve!F13</f>
        <v>737.26790181654087</v>
      </c>
      <c r="F52" s="284">
        <f>Inputs_SupplyCurve!G13</f>
        <v>0</v>
      </c>
      <c r="G52" s="284">
        <f>SUMIFS(PriceSpikes!$L$7:$L$198,PriceSpikes!$B$7:$B$198,B52)</f>
        <v>0</v>
      </c>
      <c r="H52" s="284">
        <f>BalancingMeasures!$M$15*S12*10^-6</f>
        <v>0</v>
      </c>
      <c r="I52" s="284">
        <f>Inputs_AnnualElectric!H20</f>
        <v>2272.0285205846185</v>
      </c>
      <c r="J52" s="284">
        <f>T12*BalancingMeasures!$I$10*10^-6</f>
        <v>0</v>
      </c>
      <c r="K52" s="284">
        <f>U12*BalancingMeasures!$J$9/1000</f>
        <v>0</v>
      </c>
      <c r="L52" s="284">
        <f t="shared" si="8"/>
        <v>4197.9695547348701</v>
      </c>
      <c r="M52" s="287">
        <f>Inputs_SupplyCurve!D13</f>
        <v>0</v>
      </c>
      <c r="N52" s="284">
        <f>Inputs_SupplyCurve!E13</f>
        <v>0</v>
      </c>
      <c r="O52" s="284"/>
      <c r="P52" s="19">
        <f t="shared" si="9"/>
        <v>0</v>
      </c>
      <c r="Q52" s="290">
        <f>L52-S1_BaseRefNGNoHydro!L52+P52</f>
        <v>-111.35088590276337</v>
      </c>
      <c r="R52" s="83"/>
    </row>
    <row r="53" spans="2:18" x14ac:dyDescent="0.35">
      <c r="B53" s="10">
        <v>2020</v>
      </c>
      <c r="C53" s="287">
        <f>(C34+SUM(D34:E34))*RefTables!$F194</f>
        <v>908.95021440962967</v>
      </c>
      <c r="D53" s="284">
        <f>Inputs_SupplyCurve!C14</f>
        <v>231.85768764325491</v>
      </c>
      <c r="E53" s="284">
        <f>Inputs_SupplyCurve!F14</f>
        <v>775.41497120454073</v>
      </c>
      <c r="F53" s="284">
        <f>Inputs_SupplyCurve!G14</f>
        <v>0</v>
      </c>
      <c r="G53" s="284">
        <f>SUMIFS(PriceSpikes!$L$7:$L$198,PriceSpikes!$B$7:$B$198,B53)</f>
        <v>-3478.9350037341092</v>
      </c>
      <c r="H53" s="284">
        <f>BalancingMeasures!$M$15*S13*10^-6</f>
        <v>39.752446811392026</v>
      </c>
      <c r="I53" s="284">
        <f>Inputs_AnnualElectric!H21</f>
        <v>1693.5216093507638</v>
      </c>
      <c r="J53" s="284">
        <f>T13*BalancingMeasures!$I$10*10^-6</f>
        <v>0</v>
      </c>
      <c r="K53" s="284">
        <f>U13*BalancingMeasures!$J$9/1000</f>
        <v>0</v>
      </c>
      <c r="L53" s="284">
        <f t="shared" si="8"/>
        <v>170.56192568547203</v>
      </c>
      <c r="M53" s="287">
        <f>Inputs_SupplyCurve!D14</f>
        <v>0</v>
      </c>
      <c r="N53" s="284">
        <f>Inputs_SupplyCurve!E14</f>
        <v>0</v>
      </c>
      <c r="O53" s="284"/>
      <c r="P53" s="19">
        <f t="shared" si="9"/>
        <v>0</v>
      </c>
      <c r="Q53" s="290">
        <f>L53-S1_BaseRefNGNoHydro!L53+P53</f>
        <v>-499.10370135264066</v>
      </c>
      <c r="R53" s="83"/>
    </row>
    <row r="54" spans="2:18" x14ac:dyDescent="0.35">
      <c r="B54" s="10">
        <v>2021</v>
      </c>
      <c r="C54" s="287">
        <f>(C35+SUM(D35:E35))*RefTables!$F195</f>
        <v>921.80722132314645</v>
      </c>
      <c r="D54" s="284">
        <f>Inputs_SupplyCurve!C15</f>
        <v>243.54789353844251</v>
      </c>
      <c r="E54" s="284">
        <f>Inputs_SupplyCurve!F15</f>
        <v>810.82718747828085</v>
      </c>
      <c r="F54" s="284">
        <f>Inputs_SupplyCurve!G15</f>
        <v>0</v>
      </c>
      <c r="G54" s="284">
        <f>SUMIFS(PriceSpikes!$L$7:$L$198,PriceSpikes!$B$7:$B$198,B54)</f>
        <v>-3430.4046115732017</v>
      </c>
      <c r="H54" s="284">
        <f>BalancingMeasures!$M$15*S14*10^-6</f>
        <v>39.752446811392026</v>
      </c>
      <c r="I54" s="284">
        <f>Inputs_AnnualElectric!H22</f>
        <v>1695.7469090691106</v>
      </c>
      <c r="J54" s="284">
        <f>T14*BalancingMeasures!$I$10*10^-6</f>
        <v>0</v>
      </c>
      <c r="K54" s="284">
        <f>U14*BalancingMeasures!$J$9/1000</f>
        <v>0</v>
      </c>
      <c r="L54" s="284">
        <f t="shared" si="8"/>
        <v>281.27704664717066</v>
      </c>
      <c r="M54" s="287">
        <f>Inputs_SupplyCurve!D15</f>
        <v>0</v>
      </c>
      <c r="N54" s="284">
        <f>Inputs_SupplyCurve!E15</f>
        <v>0</v>
      </c>
      <c r="O54" s="284"/>
      <c r="P54" s="19">
        <f t="shared" si="9"/>
        <v>0</v>
      </c>
      <c r="Q54" s="290">
        <f>L54-S1_BaseRefNGNoHydro!L54+P54</f>
        <v>-578.27943196700289</v>
      </c>
      <c r="R54" s="83"/>
    </row>
    <row r="55" spans="2:18" x14ac:dyDescent="0.35">
      <c r="B55" s="10">
        <v>2022</v>
      </c>
      <c r="C55" s="287">
        <f>(C36+SUM(D36:E36))*RefTables!$F196</f>
        <v>936.7250016427904</v>
      </c>
      <c r="D55" s="284">
        <f>Inputs_SupplyCurve!C16</f>
        <v>253.2699316532761</v>
      </c>
      <c r="E55" s="284">
        <f>Inputs_SupplyCurve!F16</f>
        <v>843.92849446737682</v>
      </c>
      <c r="F55" s="284">
        <f>Inputs_SupplyCurve!G16</f>
        <v>0</v>
      </c>
      <c r="G55" s="284">
        <f>SUMIFS(PriceSpikes!$L$7:$L$198,PriceSpikes!$B$7:$B$198,B55)</f>
        <v>-3320.5341820563835</v>
      </c>
      <c r="H55" s="284">
        <f>BalancingMeasures!$M$15*S15*10^-6</f>
        <v>39.752446811392026</v>
      </c>
      <c r="I55" s="284">
        <f>Inputs_AnnualElectric!H23</f>
        <v>1719.7650464329706</v>
      </c>
      <c r="J55" s="284">
        <f>T15*BalancingMeasures!$I$10*10^-6</f>
        <v>0</v>
      </c>
      <c r="K55" s="284">
        <f>U15*BalancingMeasures!$J$9/1000</f>
        <v>0</v>
      </c>
      <c r="L55" s="284">
        <f t="shared" si="8"/>
        <v>472.90673895142231</v>
      </c>
      <c r="M55" s="287">
        <f>Inputs_SupplyCurve!D16</f>
        <v>0</v>
      </c>
      <c r="N55" s="284">
        <f>Inputs_SupplyCurve!E16</f>
        <v>0</v>
      </c>
      <c r="O55" s="284"/>
      <c r="P55" s="19">
        <f t="shared" si="9"/>
        <v>0</v>
      </c>
      <c r="Q55" s="290">
        <f>L55-S1_BaseRefNGNoHydro!L55+P55</f>
        <v>-645.02849868053477</v>
      </c>
      <c r="R55" s="83"/>
    </row>
    <row r="56" spans="2:18" x14ac:dyDescent="0.35">
      <c r="B56" s="10">
        <v>2023</v>
      </c>
      <c r="C56" s="287">
        <f>(C37+SUM(D37:E37))*RefTables!$F197</f>
        <v>953.35044091139821</v>
      </c>
      <c r="D56" s="284">
        <f>Inputs_SupplyCurve!C17</f>
        <v>256.83105657853571</v>
      </c>
      <c r="E56" s="284">
        <f>Inputs_SupplyCurve!F17</f>
        <v>874.35589254029105</v>
      </c>
      <c r="F56" s="284">
        <f>Inputs_SupplyCurve!G17</f>
        <v>0</v>
      </c>
      <c r="G56" s="284">
        <f>SUMIFS(PriceSpikes!$L$7:$L$198,PriceSpikes!$B$7:$B$198,B56)</f>
        <v>-3326.6961369673627</v>
      </c>
      <c r="H56" s="284">
        <f>BalancingMeasures!$M$15*S16*10^-6</f>
        <v>39.752446811392026</v>
      </c>
      <c r="I56" s="284">
        <f>Inputs_AnnualElectric!H24</f>
        <v>1766.9518665954122</v>
      </c>
      <c r="J56" s="284">
        <f>T16*BalancingMeasures!$I$10*10^-6</f>
        <v>0</v>
      </c>
      <c r="K56" s="284">
        <f>U16*BalancingMeasures!$J$9/1000</f>
        <v>0</v>
      </c>
      <c r="L56" s="284">
        <f t="shared" si="8"/>
        <v>564.54556646966626</v>
      </c>
      <c r="M56" s="287">
        <f>Inputs_SupplyCurve!D17</f>
        <v>0</v>
      </c>
      <c r="N56" s="284">
        <f>Inputs_SupplyCurve!E17</f>
        <v>0</v>
      </c>
      <c r="O56" s="284"/>
      <c r="P56" s="19">
        <f t="shared" si="9"/>
        <v>0</v>
      </c>
      <c r="Q56" s="290">
        <f>L56-S1_BaseRefNGNoHydro!L56+P56</f>
        <v>-692.32405743142976</v>
      </c>
      <c r="R56" s="83"/>
    </row>
    <row r="57" spans="2:18" x14ac:dyDescent="0.35">
      <c r="B57" s="10">
        <v>2024</v>
      </c>
      <c r="C57" s="287">
        <f>(C38+SUM(D38:E38))*RefTables!$F198</f>
        <v>971.7158086906029</v>
      </c>
      <c r="D57" s="284">
        <f>Inputs_SupplyCurve!C18</f>
        <v>263.02625287481254</v>
      </c>
      <c r="E57" s="284">
        <f>Inputs_SupplyCurve!F18</f>
        <v>900.95296614242363</v>
      </c>
      <c r="F57" s="284">
        <f>Inputs_SupplyCurve!G18</f>
        <v>0</v>
      </c>
      <c r="G57" s="284">
        <f>SUMIFS(PriceSpikes!$L$7:$L$198,PriceSpikes!$B$7:$B$198,B57)</f>
        <v>-3481.124810558309</v>
      </c>
      <c r="H57" s="284">
        <f>BalancingMeasures!$M$15*S17*10^-6</f>
        <v>44.721502662816029</v>
      </c>
      <c r="I57" s="284">
        <f>Inputs_AnnualElectric!H25</f>
        <v>1798.0632252420469</v>
      </c>
      <c r="J57" s="284">
        <f>T17*BalancingMeasures!$I$10*10^-6</f>
        <v>0</v>
      </c>
      <c r="K57" s="284">
        <f>U17*BalancingMeasures!$J$9/1000</f>
        <v>0</v>
      </c>
      <c r="L57" s="284">
        <f t="shared" si="8"/>
        <v>497.35494505439283</v>
      </c>
      <c r="M57" s="287">
        <f>Inputs_SupplyCurve!D18</f>
        <v>0</v>
      </c>
      <c r="N57" s="284">
        <f>Inputs_SupplyCurve!E18</f>
        <v>0</v>
      </c>
      <c r="O57" s="284"/>
      <c r="P57" s="19">
        <f t="shared" si="9"/>
        <v>0</v>
      </c>
      <c r="Q57" s="290">
        <f>L57-S1_BaseRefNGNoHydro!L57+P57</f>
        <v>-721.98690161327477</v>
      </c>
      <c r="R57" s="83"/>
    </row>
    <row r="58" spans="2:18" x14ac:dyDescent="0.35">
      <c r="B58" s="10">
        <v>2025</v>
      </c>
      <c r="C58" s="287">
        <f>(C39+SUM(D39:E39))*RefTables!$F199</f>
        <v>982.07105673380875</v>
      </c>
      <c r="D58" s="284">
        <f>Inputs_SupplyCurve!C19</f>
        <v>268.62222782421975</v>
      </c>
      <c r="E58" s="284">
        <f>Inputs_SupplyCurve!F19</f>
        <v>923.22485013311757</v>
      </c>
      <c r="F58" s="284">
        <f>Inputs_SupplyCurve!G19</f>
        <v>97.003539999999987</v>
      </c>
      <c r="G58" s="284">
        <f>SUMIFS(PriceSpikes!$L$7:$L$198,PriceSpikes!$B$7:$B$198,B58)</f>
        <v>-3440.0273792678963</v>
      </c>
      <c r="H58" s="284">
        <f>BalancingMeasures!$M$15*S18*10^-6</f>
        <v>44.721502662816029</v>
      </c>
      <c r="I58" s="284">
        <f>Inputs_AnnualElectric!H26</f>
        <v>1852.2968529026184</v>
      </c>
      <c r="J58" s="284">
        <f>T18*BalancingMeasures!$I$10*10^-6</f>
        <v>0</v>
      </c>
      <c r="K58" s="284">
        <f>U18*BalancingMeasures!$J$9/1000</f>
        <v>0</v>
      </c>
      <c r="L58" s="284">
        <f t="shared" si="8"/>
        <v>727.91265098868462</v>
      </c>
      <c r="M58" s="287">
        <f>Inputs_SupplyCurve!D19</f>
        <v>0</v>
      </c>
      <c r="N58" s="284">
        <f>Inputs_SupplyCurve!E19</f>
        <v>0</v>
      </c>
      <c r="O58" s="284"/>
      <c r="P58" s="19">
        <f t="shared" si="9"/>
        <v>0</v>
      </c>
      <c r="Q58" s="290">
        <f>L58-S1_BaseRefNGNoHydro!L58+P58</f>
        <v>-743.36350392478153</v>
      </c>
      <c r="R58" s="83"/>
    </row>
    <row r="59" spans="2:18" x14ac:dyDescent="0.35">
      <c r="B59" s="10">
        <v>2026</v>
      </c>
      <c r="C59" s="287">
        <f>(C40+SUM(D40:E40))*RefTables!$F200</f>
        <v>995.35602077391002</v>
      </c>
      <c r="D59" s="284">
        <f>Inputs_SupplyCurve!C20</f>
        <v>273.62999673558346</v>
      </c>
      <c r="E59" s="284">
        <f>Inputs_SupplyCurve!F20</f>
        <v>942.80020728443492</v>
      </c>
      <c r="F59" s="284">
        <f>Inputs_SupplyCurve!G20</f>
        <v>0</v>
      </c>
      <c r="G59" s="284">
        <f>SUMIFS(PriceSpikes!$L$7:$L$198,PriceSpikes!$B$7:$B$198,B59)</f>
        <v>-3459.7462355513076</v>
      </c>
      <c r="H59" s="284">
        <f>BalancingMeasures!$M$15*S19*10^-6</f>
        <v>44.721502662816029</v>
      </c>
      <c r="I59" s="284">
        <f>Inputs_AnnualElectric!H27</f>
        <v>1896.5163071061781</v>
      </c>
      <c r="J59" s="284">
        <f>T19*BalancingMeasures!$I$10*10^-6</f>
        <v>0</v>
      </c>
      <c r="K59" s="284">
        <f>U19*BalancingMeasures!$J$9/1000</f>
        <v>0</v>
      </c>
      <c r="L59" s="284">
        <f t="shared" si="8"/>
        <v>693.27779901161489</v>
      </c>
      <c r="M59" s="287">
        <f>Inputs_SupplyCurve!D20</f>
        <v>0</v>
      </c>
      <c r="N59" s="284">
        <f>Inputs_SupplyCurve!E20</f>
        <v>0</v>
      </c>
      <c r="O59" s="284"/>
      <c r="P59" s="19">
        <f t="shared" si="9"/>
        <v>0</v>
      </c>
      <c r="Q59" s="290">
        <f>L59-S1_BaseRefNGNoHydro!L59+P59</f>
        <v>-791.46030917354233</v>
      </c>
      <c r="R59" s="83"/>
    </row>
    <row r="60" spans="2:18" x14ac:dyDescent="0.35">
      <c r="B60" s="10">
        <v>2027</v>
      </c>
      <c r="C60" s="287">
        <f>(C41+SUM(D41:E41))*RefTables!$F201</f>
        <v>1008.962712583104</v>
      </c>
      <c r="D60" s="284">
        <f>Inputs_SupplyCurve!C21</f>
        <v>277.25964359835592</v>
      </c>
      <c r="E60" s="284">
        <f>Inputs_SupplyCurve!F21</f>
        <v>961.46180313298669</v>
      </c>
      <c r="F60" s="284">
        <f>Inputs_SupplyCurve!G21</f>
        <v>0</v>
      </c>
      <c r="G60" s="284">
        <f>SUMIFS(PriceSpikes!$L$7:$L$198,PriceSpikes!$B$7:$B$198,B60)</f>
        <v>-3477.4368437049698</v>
      </c>
      <c r="H60" s="284">
        <f>BalancingMeasures!$M$15*S20*10^-6</f>
        <v>44.721502662816029</v>
      </c>
      <c r="I60" s="284">
        <f>Inputs_AnnualElectric!H28</f>
        <v>1931.4023714755815</v>
      </c>
      <c r="J60" s="284">
        <f>T20*BalancingMeasures!$I$10*10^-6</f>
        <v>0</v>
      </c>
      <c r="K60" s="284">
        <f>U20*BalancingMeasures!$J$9/1000</f>
        <v>0</v>
      </c>
      <c r="L60" s="284">
        <f t="shared" si="8"/>
        <v>746.37118974787404</v>
      </c>
      <c r="M60" s="287">
        <f>Inputs_SupplyCurve!D21</f>
        <v>0</v>
      </c>
      <c r="N60" s="284">
        <f>Inputs_SupplyCurve!E21</f>
        <v>0</v>
      </c>
      <c r="O60" s="284"/>
      <c r="P60" s="19">
        <f t="shared" si="9"/>
        <v>0</v>
      </c>
      <c r="Q60" s="290">
        <f>L60-S1_BaseRefNGNoHydro!L60+P60</f>
        <v>-831.77817896637066</v>
      </c>
      <c r="R60" s="83"/>
    </row>
    <row r="61" spans="2:18" x14ac:dyDescent="0.35">
      <c r="B61" s="10">
        <v>2028</v>
      </c>
      <c r="C61" s="287">
        <f>(C42+SUM(D42:E42))*RefTables!$F202</f>
        <v>1025.3162633723512</v>
      </c>
      <c r="D61" s="284">
        <f>Inputs_SupplyCurve!C22</f>
        <v>280.58520053344989</v>
      </c>
      <c r="E61" s="284">
        <f>Inputs_SupplyCurve!F22</f>
        <v>973.06947549900337</v>
      </c>
      <c r="F61" s="284">
        <f>Inputs_SupplyCurve!G22</f>
        <v>0</v>
      </c>
      <c r="G61" s="284">
        <f>SUMIFS(PriceSpikes!$L$7:$L$198,PriceSpikes!$B$7:$B$198,B61)</f>
        <v>-3578.5774524857043</v>
      </c>
      <c r="H61" s="284">
        <f>BalancingMeasures!$M$15*S21*10^-6</f>
        <v>44.721502662816029</v>
      </c>
      <c r="I61" s="284">
        <f>Inputs_AnnualElectric!H29</f>
        <v>1960.5888346254483</v>
      </c>
      <c r="J61" s="284">
        <f>T21*BalancingMeasures!$I$10*10^-6</f>
        <v>0</v>
      </c>
      <c r="K61" s="284">
        <f>U21*BalancingMeasures!$J$9/1000</f>
        <v>0</v>
      </c>
      <c r="L61" s="284">
        <f t="shared" si="8"/>
        <v>705.70382420736405</v>
      </c>
      <c r="M61" s="287">
        <f>Inputs_SupplyCurve!D22</f>
        <v>0</v>
      </c>
      <c r="N61" s="284">
        <f>Inputs_SupplyCurve!E22</f>
        <v>0</v>
      </c>
      <c r="O61" s="284"/>
      <c r="P61" s="19">
        <f t="shared" si="9"/>
        <v>0</v>
      </c>
      <c r="Q61" s="290">
        <f>L61-S1_BaseRefNGNoHydro!L61+P61</f>
        <v>-924.7076730945264</v>
      </c>
      <c r="R61" s="83"/>
    </row>
    <row r="62" spans="2:18" x14ac:dyDescent="0.35">
      <c r="B62" s="10">
        <v>2029</v>
      </c>
      <c r="C62" s="287">
        <f>(C43+SUM(D43:E43))*RefTables!$F203</f>
        <v>1033.470382005811</v>
      </c>
      <c r="D62" s="284">
        <f>Inputs_SupplyCurve!C23</f>
        <v>282.67154503592951</v>
      </c>
      <c r="E62" s="284">
        <f>Inputs_SupplyCurve!F23</f>
        <v>984.44937356577873</v>
      </c>
      <c r="F62" s="284">
        <f>Inputs_SupplyCurve!G23</f>
        <v>0</v>
      </c>
      <c r="G62" s="284">
        <f>SUMIFS(PriceSpikes!$L$7:$L$198,PriceSpikes!$B$7:$B$198,B62)</f>
        <v>-3597.4172412566404</v>
      </c>
      <c r="H62" s="284">
        <f>BalancingMeasures!$M$15*S22*10^-6</f>
        <v>44.721502662816029</v>
      </c>
      <c r="I62" s="284">
        <f>Inputs_AnnualElectric!H30</f>
        <v>1976.4809180027992</v>
      </c>
      <c r="J62" s="284">
        <f>T22*BalancingMeasures!$I$10*10^-6</f>
        <v>0</v>
      </c>
      <c r="K62" s="284">
        <f>U22*BalancingMeasures!$J$9/1000</f>
        <v>0</v>
      </c>
      <c r="L62" s="284">
        <f t="shared" si="8"/>
        <v>724.37648001649404</v>
      </c>
      <c r="M62" s="287">
        <f>Inputs_SupplyCurve!D23</f>
        <v>0</v>
      </c>
      <c r="N62" s="284">
        <f>Inputs_SupplyCurve!E23</f>
        <v>0</v>
      </c>
      <c r="O62" s="284"/>
      <c r="P62" s="19">
        <f t="shared" si="9"/>
        <v>0</v>
      </c>
      <c r="Q62" s="290">
        <f>L62-S1_BaseRefNGNoHydro!L62+P62</f>
        <v>-1055.4950986584486</v>
      </c>
      <c r="R62" s="83"/>
    </row>
    <row r="63" spans="2:18" ht="18" thickBot="1" x14ac:dyDescent="0.4">
      <c r="B63" s="11">
        <v>2030</v>
      </c>
      <c r="C63" s="288">
        <f>(C44+SUM(D44:E44))*RefTables!$F204</f>
        <v>1044.7011619471111</v>
      </c>
      <c r="D63" s="285">
        <f>Inputs_SupplyCurve!C24</f>
        <v>284.14981944616545</v>
      </c>
      <c r="E63" s="285">
        <f>Inputs_SupplyCurve!F24</f>
        <v>996.63079163297505</v>
      </c>
      <c r="F63" s="285">
        <f>Inputs_SupplyCurve!G24</f>
        <v>0</v>
      </c>
      <c r="G63" s="285">
        <f>SUMIFS(PriceSpikes!$L$7:$L$198,PriceSpikes!$B$7:$B$198,B63)</f>
        <v>-3574.708828957886</v>
      </c>
      <c r="H63" s="285">
        <f>BalancingMeasures!$M$15*S23*10^-6</f>
        <v>44.721502662816029</v>
      </c>
      <c r="I63" s="285">
        <f>Inputs_AnnualElectric!H31</f>
        <v>2033.4636778847548</v>
      </c>
      <c r="J63" s="285">
        <f>T23*BalancingMeasures!$I$10*10^-6</f>
        <v>0</v>
      </c>
      <c r="K63" s="285">
        <f>U23*BalancingMeasures!$J$9/1000</f>
        <v>0</v>
      </c>
      <c r="L63" s="285">
        <f t="shared" si="8"/>
        <v>828.95812461593641</v>
      </c>
      <c r="M63" s="288">
        <f>Inputs_SupplyCurve!D24</f>
        <v>0</v>
      </c>
      <c r="N63" s="285">
        <f>Inputs_SupplyCurve!E24</f>
        <v>0</v>
      </c>
      <c r="O63" s="285"/>
      <c r="P63" s="20">
        <f t="shared" si="9"/>
        <v>0</v>
      </c>
      <c r="Q63" s="291">
        <f>L63-S1_BaseRefNGNoHydro!L63+P63</f>
        <v>-1127.007342103389</v>
      </c>
      <c r="R63" s="83"/>
    </row>
    <row r="64" spans="2:18" x14ac:dyDescent="0.35">
      <c r="B64" s="76"/>
      <c r="D64" s="184"/>
    </row>
  </sheetData>
  <mergeCells count="22">
    <mergeCell ref="B46:B47"/>
    <mergeCell ref="C46:L46"/>
    <mergeCell ref="M46:P46"/>
    <mergeCell ref="Q46:Q47"/>
    <mergeCell ref="B27:B28"/>
    <mergeCell ref="C27:E27"/>
    <mergeCell ref="J27:J28"/>
    <mergeCell ref="K27:M27"/>
    <mergeCell ref="Q27:R27"/>
    <mergeCell ref="B4:R4"/>
    <mergeCell ref="H27:H28"/>
    <mergeCell ref="P27:P28"/>
    <mergeCell ref="F27:G27"/>
    <mergeCell ref="N27:O27"/>
    <mergeCell ref="B25:R25"/>
    <mergeCell ref="C6:E6"/>
    <mergeCell ref="F6:G6"/>
    <mergeCell ref="Q6:R6"/>
    <mergeCell ref="H6:I6"/>
    <mergeCell ref="J6:K6"/>
    <mergeCell ref="L6:P6"/>
    <mergeCell ref="B6:B7"/>
  </mergeCells>
  <conditionalFormatting sqref="Q8:Q23">
    <cfRule type="expression" dxfId="28" priority="2">
      <formula>R8&lt;=95%</formula>
    </cfRule>
  </conditionalFormatting>
  <conditionalFormatting sqref="H8:H23">
    <cfRule type="expression" dxfId="27" priority="4">
      <formula>I8&lt;=95%</formula>
    </cfRule>
  </conditionalFormatting>
  <conditionalFormatting sqref="R34 R44 P34">
    <cfRule type="expression" dxfId="26" priority="1">
      <formula>$P$34&lt;=#REF!</formula>
    </cfRule>
  </conditionalFormatting>
  <conditionalFormatting sqref="P44">
    <cfRule type="expression" dxfId="25" priority="74">
      <formula>$P$44&lt;=#REF!</formula>
    </cfRule>
  </conditionalFormatting>
  <pageMargins left="0.7" right="0.7" top="0.75" bottom="0.75" header="0.3" footer="0.3"/>
  <pageSetup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B2:Z64"/>
  <sheetViews>
    <sheetView showGridLines="0" view="pageBreakPreview" zoomScale="70" zoomScaleNormal="70" zoomScaleSheetLayoutView="70" workbookViewId="0">
      <pane ySplit="4" topLeftCell="A5" activePane="bottomLeft" state="frozen"/>
      <selection activeCell="X23" sqref="X23"/>
      <selection pane="bottomLeft" activeCell="X23" sqref="X23"/>
    </sheetView>
  </sheetViews>
  <sheetFormatPr defaultRowHeight="17.25" x14ac:dyDescent="0.35"/>
  <cols>
    <col min="1" max="1" width="2.375" customWidth="1"/>
    <col min="2" max="18" width="13.375" customWidth="1"/>
    <col min="19" max="19" width="11.25" customWidth="1"/>
    <col min="20" max="23" width="10.125" customWidth="1"/>
    <col min="26" max="26" width="10.625" bestFit="1" customWidth="1"/>
    <col min="27" max="27" width="10.25" customWidth="1"/>
    <col min="28" max="28" width="10.625" customWidth="1"/>
  </cols>
  <sheetData>
    <row r="2" spans="2:26" ht="30.75" x14ac:dyDescent="0.6">
      <c r="B2" s="1" t="s">
        <v>375</v>
      </c>
      <c r="R2" s="362" t="str">
        <f>IF(SUM($P$8:$P$23)&lt;&gt;0,"This scenario requires a pipeline.","This scenario does not require a pipeline.")</f>
        <v>This scenario requires a pipeline.</v>
      </c>
      <c r="X2" s="195"/>
      <c r="Y2" s="193">
        <v>5.6000000000000001E-2</v>
      </c>
      <c r="Z2" s="194" t="e">
        <f>Y2/X2</f>
        <v>#DIV/0!</v>
      </c>
    </row>
    <row r="4" spans="2:26" ht="21.75" x14ac:dyDescent="0.45">
      <c r="B4" s="432" t="s">
        <v>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</row>
    <row r="5" spans="2:26" ht="18" thickBot="1" x14ac:dyDescent="0.4">
      <c r="B5" s="2"/>
      <c r="C5" s="75"/>
      <c r="D5" s="184"/>
      <c r="E5" s="184"/>
      <c r="F5" s="184"/>
      <c r="G5" s="184"/>
      <c r="H5" s="184"/>
      <c r="I5" s="184"/>
      <c r="J5" s="184"/>
      <c r="K5" s="184"/>
      <c r="L5" s="184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6" ht="19.5" customHeight="1" x14ac:dyDescent="0.4">
      <c r="B6" s="458" t="s">
        <v>548</v>
      </c>
      <c r="C6" s="446" t="s">
        <v>435</v>
      </c>
      <c r="D6" s="447"/>
      <c r="E6" s="447"/>
      <c r="F6" s="446" t="s">
        <v>550</v>
      </c>
      <c r="G6" s="451"/>
      <c r="H6" s="446" t="s">
        <v>436</v>
      </c>
      <c r="I6" s="447"/>
      <c r="J6" s="446" t="s">
        <v>551</v>
      </c>
      <c r="K6" s="451"/>
      <c r="L6" s="446" t="s">
        <v>557</v>
      </c>
      <c r="M6" s="447"/>
      <c r="N6" s="447"/>
      <c r="O6" s="447"/>
      <c r="P6" s="451"/>
      <c r="Q6" s="462" t="s">
        <v>553</v>
      </c>
      <c r="R6" s="463"/>
    </row>
    <row r="7" spans="2:26" ht="52.5" thickBot="1" x14ac:dyDescent="0.4">
      <c r="B7" s="459"/>
      <c r="C7" s="15" t="s">
        <v>456</v>
      </c>
      <c r="D7" s="16" t="s">
        <v>425</v>
      </c>
      <c r="E7" s="16" t="s">
        <v>20</v>
      </c>
      <c r="F7" s="15" t="s">
        <v>2</v>
      </c>
      <c r="G7" s="16" t="s">
        <v>538</v>
      </c>
      <c r="H7" s="15" t="s">
        <v>457</v>
      </c>
      <c r="I7" s="16" t="s">
        <v>409</v>
      </c>
      <c r="J7" s="15" t="s">
        <v>552</v>
      </c>
      <c r="K7" s="16" t="s">
        <v>267</v>
      </c>
      <c r="L7" s="15" t="s">
        <v>539</v>
      </c>
      <c r="M7" s="16" t="s">
        <v>453</v>
      </c>
      <c r="N7" s="16" t="s">
        <v>107</v>
      </c>
      <c r="O7" s="16" t="s">
        <v>106</v>
      </c>
      <c r="P7" s="17" t="s">
        <v>328</v>
      </c>
      <c r="Q7" s="15" t="s">
        <v>457</v>
      </c>
      <c r="R7" s="240" t="s">
        <v>409</v>
      </c>
      <c r="S7" s="275" t="s">
        <v>465</v>
      </c>
      <c r="T7" s="275" t="s">
        <v>455</v>
      </c>
      <c r="U7" s="275" t="s">
        <v>437</v>
      </c>
      <c r="V7" s="275"/>
      <c r="W7" s="161"/>
      <c r="X7" s="162"/>
      <c r="Z7" s="196"/>
    </row>
    <row r="8" spans="2:26" x14ac:dyDescent="0.35">
      <c r="B8" s="9">
        <v>2015</v>
      </c>
      <c r="C8" s="5">
        <f>RefTables!D23+RefTables!$F$49*RefTables!$F$57/1000</f>
        <v>157.12752906068812</v>
      </c>
      <c r="D8" s="110">
        <f>-Inputs_SupplyCurve!AP9/1000</f>
        <v>-8.0169925080334483</v>
      </c>
      <c r="E8" s="110">
        <f>-(Inputs_SupplyCurve!AQ9+Inputs_SupplyCurve!AR9)/1000-RefTables!D284</f>
        <v>-7.1691640119538391</v>
      </c>
      <c r="F8" s="5">
        <f>RefTables!F79/1000</f>
        <v>85.720249999999993</v>
      </c>
      <c r="G8" s="3">
        <f>RefTables!$F$127/1000</f>
        <v>36.795041666666663</v>
      </c>
      <c r="H8" s="237">
        <f t="shared" ref="H8:H23" si="0">SUM(F8:G8)-SUM(C8:E8)</f>
        <v>-19.426080874034199</v>
      </c>
      <c r="I8" s="262">
        <f t="shared" ref="I8:I23" si="1">SUM(C8:E8)/SUM(F8:G8)</f>
        <v>1.158560458941629</v>
      </c>
      <c r="J8" s="342">
        <f>MAX(-H8,0)</f>
        <v>19.426080874034199</v>
      </c>
      <c r="K8" s="345">
        <f>Inputs_JanElectric!E16</f>
        <v>14.10284</v>
      </c>
      <c r="L8" s="5">
        <f>RefTables!$F$126/1000</f>
        <v>18.940624999999997</v>
      </c>
      <c r="M8" s="3">
        <f>RefTables!$F$125/1000</f>
        <v>12.191666666666666</v>
      </c>
      <c r="N8" s="325">
        <f>BalancingMeasures!$N$10*T8</f>
        <v>0.1444</v>
      </c>
      <c r="O8" s="4">
        <f>BalancingMeasures!$N$9*U8</f>
        <v>4.0170000000000003</v>
      </c>
      <c r="P8" s="6"/>
      <c r="Q8" s="241">
        <f t="shared" ref="Q8:Q23" si="2">SUM(L8:P8)-SUM(J8:K8)</f>
        <v>1.7647707926324685</v>
      </c>
      <c r="R8" s="242">
        <f t="shared" ref="R8:R23" si="3">SUM(J8:K8)/SUM(L8:P8)</f>
        <v>0.94999755737371006</v>
      </c>
      <c r="S8" s="107"/>
      <c r="T8" s="107">
        <v>190</v>
      </c>
      <c r="U8" s="107">
        <v>4017</v>
      </c>
      <c r="V8" s="107"/>
      <c r="W8" s="158"/>
      <c r="X8" s="159"/>
      <c r="Y8" s="158"/>
      <c r="Z8" s="197"/>
    </row>
    <row r="9" spans="2:26" x14ac:dyDescent="0.35">
      <c r="B9" s="10">
        <v>2016</v>
      </c>
      <c r="C9" s="7">
        <f>RefTables!D24+RefTables!$F$49*RefTables!$F$57/1000</f>
        <v>159.85216975606758</v>
      </c>
      <c r="D9" s="111">
        <f>-Inputs_SupplyCurve!AP10/1000</f>
        <v>-9.290948102024835</v>
      </c>
      <c r="E9" s="111">
        <f>-(Inputs_SupplyCurve!AQ10+Inputs_SupplyCurve!AR10)/1000-RefTables!D285</f>
        <v>-8.1933302993758161</v>
      </c>
      <c r="F9" s="7">
        <f>RefTables!$F$80/1000</f>
        <v>99.970249999999993</v>
      </c>
      <c r="G9" s="4">
        <f>RefTables!$F$127/1000</f>
        <v>36.795041666666663</v>
      </c>
      <c r="H9" s="238">
        <f t="shared" si="0"/>
        <v>-5.6025996880002822</v>
      </c>
      <c r="I9" s="263">
        <f t="shared" si="1"/>
        <v>1.040965069570833</v>
      </c>
      <c r="J9" s="343">
        <f t="shared" ref="J9:J23" si="4">MAX(-H9,0)</f>
        <v>5.6025996880002822</v>
      </c>
      <c r="K9" s="346">
        <f>Inputs_JanElectric!E17</f>
        <v>14.10284</v>
      </c>
      <c r="L9" s="7">
        <f>RefTables!$F$126/1000</f>
        <v>18.940624999999997</v>
      </c>
      <c r="M9" s="4">
        <f>RefTables!$F$125/1000</f>
        <v>12.191666666666666</v>
      </c>
      <c r="N9" s="325"/>
      <c r="O9" s="4"/>
      <c r="P9" s="8"/>
      <c r="Q9" s="238">
        <f t="shared" si="2"/>
        <v>11.426851978666381</v>
      </c>
      <c r="R9" s="243">
        <f t="shared" si="3"/>
        <v>0.63295821261686602</v>
      </c>
      <c r="S9" s="107"/>
      <c r="T9" s="107"/>
      <c r="U9" s="107"/>
      <c r="V9" s="107"/>
      <c r="W9" s="158"/>
      <c r="X9" s="159"/>
      <c r="Y9" s="158"/>
      <c r="Z9" s="197"/>
    </row>
    <row r="10" spans="2:26" x14ac:dyDescent="0.35">
      <c r="B10" s="10">
        <v>2017</v>
      </c>
      <c r="C10" s="7">
        <f>RefTables!D25+RefTables!$F$49*RefTables!$F$57/1000</f>
        <v>162.43792427380353</v>
      </c>
      <c r="D10" s="111">
        <f>-Inputs_SupplyCurve!AP11/1000</f>
        <v>-10.647280190906416</v>
      </c>
      <c r="E10" s="111">
        <f>-(Inputs_SupplyCurve!AQ11+Inputs_SupplyCurve!AR11)/1000-RefTables!D286</f>
        <v>-9.2174965867977932</v>
      </c>
      <c r="F10" s="7">
        <f>RefTables!$F$80/1000</f>
        <v>99.970249999999993</v>
      </c>
      <c r="G10" s="4">
        <f>RefTables!$F$127/1000</f>
        <v>36.795041666666663</v>
      </c>
      <c r="H10" s="238">
        <f t="shared" si="0"/>
        <v>-5.8078558294326399</v>
      </c>
      <c r="I10" s="263">
        <f t="shared" si="1"/>
        <v>1.042465860735982</v>
      </c>
      <c r="J10" s="343">
        <f t="shared" si="4"/>
        <v>5.8078558294326399</v>
      </c>
      <c r="K10" s="346">
        <f>Inputs_JanElectric!E18</f>
        <v>12.459070000000001</v>
      </c>
      <c r="L10" s="7">
        <f>RefTables!$F$126/1000</f>
        <v>18.940624999999997</v>
      </c>
      <c r="M10" s="4">
        <f>RefTables!$F$125/1000</f>
        <v>12.191666666666666</v>
      </c>
      <c r="N10" s="325"/>
      <c r="O10" s="4"/>
      <c r="P10" s="8"/>
      <c r="Q10" s="238">
        <f t="shared" si="2"/>
        <v>12.865365837234023</v>
      </c>
      <c r="R10" s="277">
        <f t="shared" si="3"/>
        <v>0.58675172470489967</v>
      </c>
      <c r="S10" s="107"/>
      <c r="T10" s="107"/>
      <c r="U10" s="107"/>
      <c r="V10" s="107"/>
      <c r="W10" s="158"/>
      <c r="X10" s="159"/>
      <c r="Y10" s="158"/>
      <c r="Z10" s="197"/>
    </row>
    <row r="11" spans="2:26" x14ac:dyDescent="0.35">
      <c r="B11" s="10">
        <v>2018</v>
      </c>
      <c r="C11" s="7">
        <f>RefTables!D26+RefTables!$F$49*RefTables!$F$57/1000</f>
        <v>165.218866784326</v>
      </c>
      <c r="D11" s="111">
        <f>-Inputs_SupplyCurve!AP12/1000</f>
        <v>-11.786379196509024</v>
      </c>
      <c r="E11" s="111">
        <f>-(Inputs_SupplyCurve!AQ12+Inputs_SupplyCurve!AR12)/1000-RefTables!D287</f>
        <v>-10.24166287421977</v>
      </c>
      <c r="F11" s="7">
        <f>RefTables!$F$80/1000</f>
        <v>99.970249999999993</v>
      </c>
      <c r="G11" s="4">
        <f>RefTables!$F$127/1000</f>
        <v>36.795041666666663</v>
      </c>
      <c r="H11" s="238">
        <f t="shared" si="0"/>
        <v>-6.4255330469305534</v>
      </c>
      <c r="I11" s="263">
        <f t="shared" si="1"/>
        <v>1.0469821909391404</v>
      </c>
      <c r="J11" s="343">
        <f t="shared" si="4"/>
        <v>6.4255330469305534</v>
      </c>
      <c r="K11" s="346">
        <f>Inputs_JanElectric!E19</f>
        <v>23.138960000000001</v>
      </c>
      <c r="L11" s="7">
        <f>RefTables!$F$126/1000</f>
        <v>18.940624999999997</v>
      </c>
      <c r="M11" s="4">
        <f>RefTables!$F$125/1000</f>
        <v>12.191666666666666</v>
      </c>
      <c r="N11" s="325"/>
      <c r="O11" s="4"/>
      <c r="P11" s="8"/>
      <c r="Q11" s="238">
        <f t="shared" si="2"/>
        <v>1.5677986197361093</v>
      </c>
      <c r="R11" s="277">
        <f t="shared" si="3"/>
        <v>0.9496407576890733</v>
      </c>
      <c r="S11" s="107"/>
      <c r="T11" s="107"/>
      <c r="U11" s="107"/>
      <c r="V11" s="107"/>
      <c r="W11" s="158"/>
      <c r="X11" s="159"/>
      <c r="Y11" s="158"/>
      <c r="Z11" s="197"/>
    </row>
    <row r="12" spans="2:26" x14ac:dyDescent="0.35">
      <c r="B12" s="10">
        <v>2019</v>
      </c>
      <c r="C12" s="7">
        <f>RefTables!D27+RefTables!$F$49*RefTables!$F$57/1000</f>
        <v>167.74355386487682</v>
      </c>
      <c r="D12" s="111">
        <f>-Inputs_SupplyCurve!AP13/1000</f>
        <v>-12.838816405823042</v>
      </c>
      <c r="E12" s="111">
        <f>-(Inputs_SupplyCurve!AQ13+Inputs_SupplyCurve!AR13)/1000-RefTables!D288</f>
        <v>-11.265829161641747</v>
      </c>
      <c r="F12" s="7">
        <f>RefTables!$F$80/1000</f>
        <v>99.970249999999993</v>
      </c>
      <c r="G12" s="4">
        <f>RefTables!$F$127/1000</f>
        <v>36.795041666666663</v>
      </c>
      <c r="H12" s="238">
        <f t="shared" si="0"/>
        <v>-6.8736166307453459</v>
      </c>
      <c r="I12" s="263">
        <f t="shared" si="1"/>
        <v>1.0502584869814644</v>
      </c>
      <c r="J12" s="343">
        <f t="shared" si="4"/>
        <v>6.8736166307453459</v>
      </c>
      <c r="K12" s="346">
        <f>Inputs_JanElectric!E20</f>
        <v>19.486470000000001</v>
      </c>
      <c r="L12" s="7">
        <f>RefTables!$F$126/1000</f>
        <v>18.940624999999997</v>
      </c>
      <c r="M12" s="4">
        <f>RefTables!$F$125/1000</f>
        <v>12.191666666666666</v>
      </c>
      <c r="N12" s="325"/>
      <c r="O12" s="4"/>
      <c r="P12" s="8"/>
      <c r="Q12" s="238">
        <f t="shared" si="2"/>
        <v>4.7722050359213171</v>
      </c>
      <c r="R12" s="243">
        <f t="shared" si="3"/>
        <v>0.84671205425487783</v>
      </c>
      <c r="S12" s="107"/>
      <c r="T12" s="107"/>
      <c r="U12" s="107"/>
      <c r="V12" s="107"/>
      <c r="W12" s="158"/>
      <c r="X12" s="159"/>
      <c r="Y12" s="160"/>
      <c r="Z12" s="158"/>
    </row>
    <row r="13" spans="2:26" x14ac:dyDescent="0.35">
      <c r="B13" s="10">
        <v>2020</v>
      </c>
      <c r="C13" s="7">
        <f>RefTables!D28+RefTables!$F$49*RefTables!$F$57/1000</f>
        <v>168.56469967420119</v>
      </c>
      <c r="D13" s="111">
        <f>-Inputs_SupplyCurve!AP14/1000</f>
        <v>-13.935429756935545</v>
      </c>
      <c r="E13" s="111">
        <f>-(Inputs_SupplyCurve!AQ14+Inputs_SupplyCurve!AR14)/1000-RefTables!D289</f>
        <v>-12.289995449063724</v>
      </c>
      <c r="F13" s="7">
        <f>RefTables!$F$80/1000</f>
        <v>99.970249999999993</v>
      </c>
      <c r="G13" s="4">
        <f>RefTables!$F$127/1000</f>
        <v>36.795041666666663</v>
      </c>
      <c r="H13" s="238">
        <f t="shared" si="0"/>
        <v>-5.5739828015352657</v>
      </c>
      <c r="I13" s="263">
        <f t="shared" si="1"/>
        <v>1.040755828716547</v>
      </c>
      <c r="J13" s="343">
        <f t="shared" si="4"/>
        <v>5.5739828015352657</v>
      </c>
      <c r="K13" s="346">
        <f>Inputs_JanElectric!E21</f>
        <v>52.320040000000006</v>
      </c>
      <c r="L13" s="7">
        <f>RefTables!$F$126/1000</f>
        <v>18.940624999999997</v>
      </c>
      <c r="M13" s="4">
        <f>RefTables!$F$125/1000</f>
        <v>12.191666666666666</v>
      </c>
      <c r="N13" s="4"/>
      <c r="O13" s="4"/>
      <c r="P13" s="8">
        <f>BalancingMeasures!$N$15*$S13</f>
        <v>33.333333333333329</v>
      </c>
      <c r="Q13" s="238">
        <f t="shared" si="2"/>
        <v>6.571602198464717</v>
      </c>
      <c r="R13" s="243">
        <f t="shared" si="3"/>
        <v>0.89806036630429442</v>
      </c>
      <c r="S13" s="107">
        <v>8</v>
      </c>
      <c r="T13" s="107"/>
      <c r="U13" s="107"/>
      <c r="V13" s="107"/>
      <c r="W13" s="158"/>
      <c r="X13" s="159"/>
      <c r="Y13" s="158"/>
      <c r="Z13" s="158"/>
    </row>
    <row r="14" spans="2:26" x14ac:dyDescent="0.35">
      <c r="B14" s="10">
        <v>2021</v>
      </c>
      <c r="C14" s="7">
        <f>RefTables!D29+RefTables!$F$49*RefTables!$F$57/1000</f>
        <v>169.38995121257219</v>
      </c>
      <c r="D14" s="111">
        <f>-Inputs_SupplyCurve!AP15/1000</f>
        <v>-14.70590746225548</v>
      </c>
      <c r="E14" s="111">
        <f>-(Inputs_SupplyCurve!AQ15+Inputs_SupplyCurve!AR15)/1000-RefTables!D290</f>
        <v>-13.127680341605966</v>
      </c>
      <c r="F14" s="7">
        <f>RefTables!$F$80/1000</f>
        <v>99.970249999999993</v>
      </c>
      <c r="G14" s="4">
        <f>RefTables!$F$127/1000</f>
        <v>36.795041666666663</v>
      </c>
      <c r="H14" s="238">
        <f t="shared" si="0"/>
        <v>-4.791071742044096</v>
      </c>
      <c r="I14" s="263">
        <f t="shared" si="1"/>
        <v>1.0350313422627813</v>
      </c>
      <c r="J14" s="343">
        <f t="shared" si="4"/>
        <v>4.791071742044096</v>
      </c>
      <c r="K14" s="346">
        <f>Inputs_JanElectric!E22</f>
        <v>51.71199</v>
      </c>
      <c r="L14" s="7">
        <f>RefTables!$F$126/1000</f>
        <v>18.940624999999997</v>
      </c>
      <c r="M14" s="4">
        <f>RefTables!$F$125/1000</f>
        <v>12.191666666666666</v>
      </c>
      <c r="N14" s="4"/>
      <c r="O14" s="4"/>
      <c r="P14" s="8">
        <f>BalancingMeasures!$N$15*$S14</f>
        <v>33.333333333333329</v>
      </c>
      <c r="Q14" s="238">
        <f t="shared" si="2"/>
        <v>7.9625632579558925</v>
      </c>
      <c r="R14" s="243">
        <f t="shared" si="3"/>
        <v>0.87648357930360721</v>
      </c>
      <c r="S14" s="107">
        <v>8</v>
      </c>
      <c r="T14" s="107"/>
      <c r="U14" s="107"/>
      <c r="V14" s="107"/>
      <c r="W14" s="158"/>
      <c r="X14" s="159"/>
      <c r="Y14" s="158"/>
      <c r="Z14" s="158"/>
    </row>
    <row r="15" spans="2:26" x14ac:dyDescent="0.35">
      <c r="B15" s="10">
        <v>2022</v>
      </c>
      <c r="C15" s="7">
        <f>RefTables!D30+RefTables!$F$49*RefTables!$F$57/1000</f>
        <v>170.21932900863504</v>
      </c>
      <c r="D15" s="111">
        <f>-Inputs_SupplyCurve!AP16/1000</f>
        <v>-15.475632297536823</v>
      </c>
      <c r="E15" s="111">
        <f>-(Inputs_SupplyCurve!AQ16+Inputs_SupplyCurve!AR16)/1000-RefTables!D291</f>
        <v>-13.965365234148209</v>
      </c>
      <c r="F15" s="7">
        <f>RefTables!$F$80/1000</f>
        <v>99.970249999999993</v>
      </c>
      <c r="G15" s="4">
        <f>RefTables!$F$127/1000</f>
        <v>36.795041666666663</v>
      </c>
      <c r="H15" s="238">
        <f t="shared" si="0"/>
        <v>-4.0130398102833453</v>
      </c>
      <c r="I15" s="263">
        <f t="shared" si="1"/>
        <v>1.0293425309987581</v>
      </c>
      <c r="J15" s="343">
        <f t="shared" si="4"/>
        <v>4.0130398102833453</v>
      </c>
      <c r="K15" s="346">
        <f>Inputs_JanElectric!E23</f>
        <v>51.062729999999988</v>
      </c>
      <c r="L15" s="7">
        <f>RefTables!$F$126/1000</f>
        <v>18.940624999999997</v>
      </c>
      <c r="M15" s="4">
        <f>RefTables!$F$125/1000</f>
        <v>12.191666666666666</v>
      </c>
      <c r="N15" s="4"/>
      <c r="O15" s="4"/>
      <c r="P15" s="8">
        <f>BalancingMeasures!$N$15*$S15</f>
        <v>33.333333333333329</v>
      </c>
      <c r="Q15" s="238">
        <f t="shared" si="2"/>
        <v>9.3898551897166556</v>
      </c>
      <c r="R15" s="243">
        <f t="shared" si="3"/>
        <v>0.85434322261334383</v>
      </c>
      <c r="S15" s="107">
        <v>8</v>
      </c>
      <c r="T15" s="107"/>
      <c r="U15" s="107"/>
      <c r="V15" s="107"/>
      <c r="W15" s="158"/>
      <c r="X15" s="159"/>
      <c r="Y15" s="158"/>
      <c r="Z15" s="158"/>
    </row>
    <row r="16" spans="2:26" x14ac:dyDescent="0.35">
      <c r="B16" s="10">
        <v>2023</v>
      </c>
      <c r="C16" s="7">
        <f>RefTables!D31+RefTables!$F$49*RefTables!$F$57/1000</f>
        <v>171.0528536936782</v>
      </c>
      <c r="D16" s="111">
        <f>-Inputs_SupplyCurve!AP17/1000</f>
        <v>-15.832642145807547</v>
      </c>
      <c r="E16" s="111">
        <f>-(Inputs_SupplyCurve!AQ17+Inputs_SupplyCurve!AR17)/1000-RefTables!D292</f>
        <v>-14.803050126690451</v>
      </c>
      <c r="F16" s="7">
        <f>RefTables!$F$80/1000</f>
        <v>99.970249999999993</v>
      </c>
      <c r="G16" s="4">
        <f>RefTables!$F$127/1000</f>
        <v>36.795041666666663</v>
      </c>
      <c r="H16" s="238">
        <f t="shared" si="0"/>
        <v>-3.651869754513541</v>
      </c>
      <c r="I16" s="263">
        <f t="shared" si="1"/>
        <v>1.026701728998715</v>
      </c>
      <c r="J16" s="343">
        <f t="shared" si="4"/>
        <v>3.651869754513541</v>
      </c>
      <c r="K16" s="346">
        <f>Inputs_JanElectric!E24</f>
        <v>51.94388</v>
      </c>
      <c r="L16" s="7">
        <f>RefTables!$F$126/1000</f>
        <v>18.940624999999997</v>
      </c>
      <c r="M16" s="4">
        <f>RefTables!$F$125/1000</f>
        <v>12.191666666666666</v>
      </c>
      <c r="N16" s="4"/>
      <c r="O16" s="4"/>
      <c r="P16" s="8">
        <f>BalancingMeasures!$N$15*$S16</f>
        <v>33.333333333333329</v>
      </c>
      <c r="Q16" s="238">
        <f t="shared" si="2"/>
        <v>8.8698752454864476</v>
      </c>
      <c r="R16" s="243">
        <f t="shared" si="3"/>
        <v>0.86240922591712332</v>
      </c>
      <c r="S16" s="107">
        <v>8</v>
      </c>
      <c r="T16" s="107"/>
      <c r="U16" s="107"/>
      <c r="V16" s="107"/>
      <c r="W16" s="247"/>
      <c r="X16" s="159"/>
      <c r="Y16" s="158"/>
      <c r="Z16" s="158"/>
    </row>
    <row r="17" spans="2:26" x14ac:dyDescent="0.35">
      <c r="B17" s="10">
        <v>2024</v>
      </c>
      <c r="C17" s="7">
        <f>RefTables!D32+RefTables!$F$49*RefTables!$F$57/1000</f>
        <v>171.89054600214658</v>
      </c>
      <c r="D17" s="111">
        <f>-Inputs_SupplyCurve!AP18/1000</f>
        <v>-16.298804130984372</v>
      </c>
      <c r="E17" s="111">
        <f>-(Inputs_SupplyCurve!AQ18+Inputs_SupplyCurve!AR18)/1000-RefTables!D293</f>
        <v>-15.640735019232693</v>
      </c>
      <c r="F17" s="7">
        <f>RefTables!$F$80/1000</f>
        <v>99.970249999999993</v>
      </c>
      <c r="G17" s="4">
        <f>RefTables!$F$127/1000</f>
        <v>36.795041666666663</v>
      </c>
      <c r="H17" s="238">
        <f t="shared" si="0"/>
        <v>-3.1857151852628647</v>
      </c>
      <c r="I17" s="263">
        <f t="shared" si="1"/>
        <v>1.0232933015858094</v>
      </c>
      <c r="J17" s="343">
        <f t="shared" si="4"/>
        <v>3.1857151852628647</v>
      </c>
      <c r="K17" s="346">
        <f>Inputs_JanElectric!E25</f>
        <v>54.090229999999998</v>
      </c>
      <c r="L17" s="7">
        <f>RefTables!$F$126/1000</f>
        <v>18.940624999999997</v>
      </c>
      <c r="M17" s="4">
        <f>RefTables!$F$125/1000</f>
        <v>12.191666666666666</v>
      </c>
      <c r="N17" s="4"/>
      <c r="O17" s="4"/>
      <c r="P17" s="8">
        <f>BalancingMeasures!$N$15*$S17</f>
        <v>33.333333333333329</v>
      </c>
      <c r="Q17" s="238">
        <f t="shared" si="2"/>
        <v>7.1896798147371257</v>
      </c>
      <c r="R17" s="243">
        <f t="shared" si="3"/>
        <v>0.8884726578740666</v>
      </c>
      <c r="S17" s="107">
        <v>8</v>
      </c>
      <c r="T17" s="107"/>
      <c r="U17" s="107"/>
      <c r="V17" s="107"/>
      <c r="W17" s="247"/>
      <c r="X17" s="159"/>
      <c r="Y17" s="158"/>
      <c r="Z17" s="158"/>
    </row>
    <row r="18" spans="2:26" x14ac:dyDescent="0.35">
      <c r="B18" s="10">
        <v>2025</v>
      </c>
      <c r="C18" s="7">
        <f>RefTables!D33+RefTables!$F$49*RefTables!$F$57/1000</f>
        <v>172.73242677215728</v>
      </c>
      <c r="D18" s="111">
        <f>-Inputs_SupplyCurve!AP19/1000</f>
        <v>-16.703852344055448</v>
      </c>
      <c r="E18" s="111">
        <f>-(Inputs_SupplyCurve!AQ19+Inputs_SupplyCurve!AR19)/1000-RefTables!D294</f>
        <v>-16.478419911774935</v>
      </c>
      <c r="F18" s="7">
        <f>RefTables!$F$80/1000</f>
        <v>99.970249999999993</v>
      </c>
      <c r="G18" s="4">
        <f>RefTables!$F$127/1000</f>
        <v>36.795041666666663</v>
      </c>
      <c r="H18" s="238">
        <f t="shared" si="0"/>
        <v>-2.7848628496602146</v>
      </c>
      <c r="I18" s="263">
        <f t="shared" si="1"/>
        <v>1.0203623508254394</v>
      </c>
      <c r="J18" s="343">
        <f t="shared" si="4"/>
        <v>2.7848628496602146</v>
      </c>
      <c r="K18" s="346">
        <f>Inputs_JanElectric!E26</f>
        <v>53.308159999999994</v>
      </c>
      <c r="L18" s="7">
        <f>RefTables!$F$126/1000</f>
        <v>18.940624999999997</v>
      </c>
      <c r="M18" s="4">
        <f>RefTables!$F$125/1000</f>
        <v>12.191666666666666</v>
      </c>
      <c r="N18" s="4"/>
      <c r="O18" s="4"/>
      <c r="P18" s="8">
        <f>BalancingMeasures!$N$15*$S18</f>
        <v>33.333333333333329</v>
      </c>
      <c r="Q18" s="238">
        <f t="shared" si="2"/>
        <v>8.3726021503397803</v>
      </c>
      <c r="R18" s="243">
        <f t="shared" si="3"/>
        <v>0.87012299732857967</v>
      </c>
      <c r="S18" s="107">
        <v>8</v>
      </c>
      <c r="T18" s="107"/>
      <c r="U18" s="107"/>
      <c r="V18" s="107"/>
      <c r="W18" s="247"/>
      <c r="X18" s="159"/>
      <c r="Y18" s="159"/>
      <c r="Z18" s="158"/>
    </row>
    <row r="19" spans="2:26" x14ac:dyDescent="0.35">
      <c r="B19" s="10">
        <v>2026</v>
      </c>
      <c r="C19" s="7">
        <f>RefTables!D34+RefTables!$F$49*RefTables!$F$57/1000</f>
        <v>173.57851694601806</v>
      </c>
      <c r="D19" s="111">
        <f>-Inputs_SupplyCurve!AP20/1000</f>
        <v>-17.083271756701425</v>
      </c>
      <c r="E19" s="111">
        <f>-(Inputs_SupplyCurve!AQ20+Inputs_SupplyCurve!AR20)/1000-RefTables!D295</f>
        <v>-17.316104804317177</v>
      </c>
      <c r="F19" s="7">
        <f>RefTables!$F$80/1000</f>
        <v>99.970249999999993</v>
      </c>
      <c r="G19" s="4">
        <f>RefTables!$F$127/1000</f>
        <v>36.795041666666663</v>
      </c>
      <c r="H19" s="238">
        <f t="shared" si="0"/>
        <v>-2.4138487183327868</v>
      </c>
      <c r="I19" s="263">
        <f t="shared" si="1"/>
        <v>1.0176495709468159</v>
      </c>
      <c r="J19" s="343">
        <f t="shared" si="4"/>
        <v>2.4138487183327868</v>
      </c>
      <c r="K19" s="346">
        <f>Inputs_JanElectric!E27</f>
        <v>53.308159999999994</v>
      </c>
      <c r="L19" s="7">
        <f>RefTables!$F$126/1000</f>
        <v>18.940624999999997</v>
      </c>
      <c r="M19" s="4">
        <f>RefTables!$F$125/1000</f>
        <v>12.191666666666666</v>
      </c>
      <c r="N19" s="4"/>
      <c r="O19" s="4"/>
      <c r="P19" s="8">
        <f>BalancingMeasures!$N$15*$S19</f>
        <v>33.333333333333329</v>
      </c>
      <c r="Q19" s="238">
        <f t="shared" si="2"/>
        <v>8.7436162816672081</v>
      </c>
      <c r="R19" s="243">
        <f t="shared" si="3"/>
        <v>0.86436777303148449</v>
      </c>
      <c r="S19" s="107">
        <v>8</v>
      </c>
      <c r="T19" s="107"/>
      <c r="U19" s="107"/>
      <c r="V19" s="107"/>
      <c r="W19" s="247"/>
      <c r="X19" s="159"/>
      <c r="Y19" s="159"/>
      <c r="Z19" s="158"/>
    </row>
    <row r="20" spans="2:26" x14ac:dyDescent="0.35">
      <c r="B20" s="10">
        <v>2027</v>
      </c>
      <c r="C20" s="7">
        <f>RefTables!D35+RefTables!$F$49*RefTables!$F$57/1000</f>
        <v>174.42883757074813</v>
      </c>
      <c r="D20" s="111">
        <f>-Inputs_SupplyCurve!AP21/1000</f>
        <v>-17.288292820858608</v>
      </c>
      <c r="E20" s="111">
        <f>-(Inputs_SupplyCurve!AQ21+Inputs_SupplyCurve!AR21)/1000-RefTables!D296</f>
        <v>-18.15378969685942</v>
      </c>
      <c r="F20" s="7">
        <f>RefTables!$F$80/1000</f>
        <v>99.970249999999993</v>
      </c>
      <c r="G20" s="4">
        <f>RefTables!$F$127/1000</f>
        <v>36.795041666666663</v>
      </c>
      <c r="H20" s="238">
        <f t="shared" si="0"/>
        <v>-2.221463386363439</v>
      </c>
      <c r="I20" s="263">
        <f t="shared" si="1"/>
        <v>1.0162428885230452</v>
      </c>
      <c r="J20" s="343">
        <f t="shared" si="4"/>
        <v>2.221463386363439</v>
      </c>
      <c r="K20" s="346">
        <f>Inputs_JanElectric!E28</f>
        <v>52.098479999999995</v>
      </c>
      <c r="L20" s="7">
        <f>RefTables!$F$126/1000</f>
        <v>18.940624999999997</v>
      </c>
      <c r="M20" s="4">
        <f>RefTables!$F$125/1000</f>
        <v>12.191666666666666</v>
      </c>
      <c r="N20" s="4"/>
      <c r="O20" s="4"/>
      <c r="P20" s="8">
        <f>BalancingMeasures!$N$15*$S20</f>
        <v>33.333333333333329</v>
      </c>
      <c r="Q20" s="238">
        <f t="shared" si="2"/>
        <v>10.145681613636555</v>
      </c>
      <c r="R20" s="243">
        <f t="shared" si="3"/>
        <v>0.84261873496709983</v>
      </c>
      <c r="S20" s="107">
        <v>8</v>
      </c>
      <c r="T20" s="107"/>
      <c r="U20" s="107"/>
      <c r="V20" s="107"/>
      <c r="W20" s="247"/>
      <c r="X20" s="159"/>
      <c r="Y20" s="159"/>
      <c r="Z20" s="158"/>
    </row>
    <row r="21" spans="2:26" x14ac:dyDescent="0.35">
      <c r="B21" s="10">
        <v>2028</v>
      </c>
      <c r="C21" s="7">
        <f>RefTables!D36+RefTables!$F$49*RefTables!$F$57/1000</f>
        <v>175.28340979860184</v>
      </c>
      <c r="D21" s="111">
        <f>-Inputs_SupplyCurve!AP22/1000</f>
        <v>-17.516075072155846</v>
      </c>
      <c r="E21" s="111">
        <f>-(Inputs_SupplyCurve!AQ22+Inputs_SupplyCurve!AR22)/1000-RefTables!D297</f>
        <v>-18.991474589401662</v>
      </c>
      <c r="F21" s="7">
        <f>RefTables!$F$80/1000</f>
        <v>99.970249999999993</v>
      </c>
      <c r="G21" s="4">
        <f>RefTables!$F$127/1000</f>
        <v>36.795041666666663</v>
      </c>
      <c r="H21" s="238">
        <f t="shared" si="0"/>
        <v>-2.0105684703776774</v>
      </c>
      <c r="I21" s="263">
        <f t="shared" si="1"/>
        <v>1.0147008677850662</v>
      </c>
      <c r="J21" s="343">
        <f t="shared" si="4"/>
        <v>2.0105684703776774</v>
      </c>
      <c r="K21" s="346">
        <f>Inputs_JanElectric!E29</f>
        <v>56.290159999999993</v>
      </c>
      <c r="L21" s="7">
        <f>RefTables!$F$126/1000</f>
        <v>18.940624999999997</v>
      </c>
      <c r="M21" s="4">
        <f>RefTables!$F$125/1000</f>
        <v>12.191666666666666</v>
      </c>
      <c r="N21" s="4"/>
      <c r="O21" s="4"/>
      <c r="P21" s="8">
        <f>BalancingMeasures!$N$15*$S21</f>
        <v>33.333333333333329</v>
      </c>
      <c r="Q21" s="238">
        <f t="shared" si="2"/>
        <v>6.1648965296223182</v>
      </c>
      <c r="R21" s="243">
        <f t="shared" si="3"/>
        <v>0.90436924283876374</v>
      </c>
      <c r="S21" s="107">
        <v>8</v>
      </c>
      <c r="T21" s="107"/>
      <c r="U21" s="107"/>
      <c r="V21" s="107"/>
      <c r="W21" s="247"/>
      <c r="X21" s="159"/>
      <c r="Y21" s="159"/>
      <c r="Z21" s="158"/>
    </row>
    <row r="22" spans="2:26" x14ac:dyDescent="0.35">
      <c r="B22" s="10">
        <v>2029</v>
      </c>
      <c r="C22" s="7">
        <f>RefTables!D37+RefTables!$F$49*RefTables!$F$57/1000</f>
        <v>176.14225488759482</v>
      </c>
      <c r="D22" s="111">
        <f>-Inputs_SupplyCurve!AP23/1000</f>
        <v>-17.604403492149142</v>
      </c>
      <c r="E22" s="111">
        <f>-(Inputs_SupplyCurve!AQ23+Inputs_SupplyCurve!AR23)/1000-RefTables!D298</f>
        <v>-19.829159481943904</v>
      </c>
      <c r="F22" s="7">
        <f>RefTables!$F$80/1000</f>
        <v>99.970249999999993</v>
      </c>
      <c r="G22" s="4">
        <f>RefTables!$F$127/1000</f>
        <v>36.795041666666663</v>
      </c>
      <c r="H22" s="238">
        <f t="shared" si="0"/>
        <v>-1.9434002468350968</v>
      </c>
      <c r="I22" s="263">
        <f t="shared" si="1"/>
        <v>1.0142097473938905</v>
      </c>
      <c r="J22" s="343">
        <f t="shared" si="4"/>
        <v>1.9434002468350968</v>
      </c>
      <c r="K22" s="346">
        <f>Inputs_JanElectric!E30</f>
        <v>60.070159999999987</v>
      </c>
      <c r="L22" s="7">
        <f>RefTables!$F$126/1000</f>
        <v>18.940624999999997</v>
      </c>
      <c r="M22" s="4">
        <f>RefTables!$F$125/1000</f>
        <v>12.191666666666666</v>
      </c>
      <c r="N22" s="4"/>
      <c r="O22" s="4"/>
      <c r="P22" s="8">
        <f>BalancingMeasures!$N$15*$S22</f>
        <v>37.499999999999993</v>
      </c>
      <c r="Q22" s="238">
        <f t="shared" si="2"/>
        <v>6.6187314198315761</v>
      </c>
      <c r="R22" s="243">
        <f t="shared" si="3"/>
        <v>0.90356243017532578</v>
      </c>
      <c r="S22" s="107">
        <v>9</v>
      </c>
      <c r="T22" s="107"/>
      <c r="U22" s="107"/>
      <c r="V22" s="107"/>
      <c r="W22" s="158"/>
      <c r="X22" s="159"/>
      <c r="Y22" s="159"/>
      <c r="Z22" s="158"/>
    </row>
    <row r="23" spans="2:26" ht="18" thickBot="1" x14ac:dyDescent="0.4">
      <c r="B23" s="11">
        <v>2030</v>
      </c>
      <c r="C23" s="12">
        <f>RefTables!D38+RefTables!$F$49*RefTables!$F$57/1000</f>
        <v>177.00539420203276</v>
      </c>
      <c r="D23" s="112">
        <f>-Inputs_SupplyCurve!AP24/1000</f>
        <v>-17.653989744732193</v>
      </c>
      <c r="E23" s="112">
        <f>-(Inputs_SupplyCurve!AQ24+Inputs_SupplyCurve!AR24)/1000-RefTables!D299</f>
        <v>-20.666844374486139</v>
      </c>
      <c r="F23" s="12">
        <f>RefTables!$F$80/1000</f>
        <v>99.970249999999993</v>
      </c>
      <c r="G23" s="13">
        <f>RefTables!$F$127/1000</f>
        <v>36.795041666666663</v>
      </c>
      <c r="H23" s="239">
        <f t="shared" si="0"/>
        <v>-1.9192684161477587</v>
      </c>
      <c r="I23" s="264">
        <f t="shared" si="1"/>
        <v>1.0140333003553674</v>
      </c>
      <c r="J23" s="344">
        <f t="shared" si="4"/>
        <v>1.9192684161477587</v>
      </c>
      <c r="K23" s="347">
        <f>Inputs_JanElectric!E31</f>
        <v>57.198320000000002</v>
      </c>
      <c r="L23" s="12">
        <f>RefTables!$F$126/1000</f>
        <v>18.940624999999997</v>
      </c>
      <c r="M23" s="13">
        <f>RefTables!$F$125/1000</f>
        <v>12.191666666666666</v>
      </c>
      <c r="N23" s="13"/>
      <c r="O23" s="13"/>
      <c r="P23" s="14">
        <f>BalancingMeasures!$N$15*$S23</f>
        <v>37.499999999999993</v>
      </c>
      <c r="Q23" s="239">
        <f t="shared" si="2"/>
        <v>9.5147032505188989</v>
      </c>
      <c r="R23" s="252">
        <f t="shared" si="3"/>
        <v>0.86136695978723965</v>
      </c>
      <c r="S23" s="107">
        <v>9</v>
      </c>
      <c r="T23" s="107"/>
      <c r="U23" s="107"/>
      <c r="V23" s="107"/>
      <c r="W23" s="247"/>
      <c r="X23" s="159"/>
      <c r="Y23" s="159"/>
      <c r="Z23" s="158"/>
    </row>
    <row r="25" spans="2:26" ht="21.75" x14ac:dyDescent="0.45">
      <c r="B25" s="440" t="s">
        <v>3</v>
      </c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185"/>
      <c r="T25" s="185"/>
    </row>
    <row r="26" spans="2:26" ht="18" thickBot="1" x14ac:dyDescent="0.4">
      <c r="B26" s="2"/>
      <c r="C26" s="2"/>
      <c r="D26" s="184"/>
      <c r="E26" s="184"/>
      <c r="F26" s="75"/>
      <c r="G26" s="2"/>
      <c r="H26" s="2"/>
      <c r="I26" s="2"/>
    </row>
    <row r="27" spans="2:26" ht="19.5" customHeight="1" x14ac:dyDescent="0.4">
      <c r="B27" s="460" t="s">
        <v>549</v>
      </c>
      <c r="C27" s="454" t="s">
        <v>435</v>
      </c>
      <c r="D27" s="455"/>
      <c r="E27" s="455"/>
      <c r="F27" s="437" t="s">
        <v>551</v>
      </c>
      <c r="G27" s="438"/>
      <c r="H27" s="433" t="s">
        <v>1</v>
      </c>
      <c r="J27" s="456" t="s">
        <v>347</v>
      </c>
      <c r="K27" s="452" t="s">
        <v>435</v>
      </c>
      <c r="L27" s="453"/>
      <c r="M27" s="453"/>
      <c r="N27" s="435" t="s">
        <v>551</v>
      </c>
      <c r="O27" s="439"/>
      <c r="P27" s="435" t="s">
        <v>1</v>
      </c>
      <c r="Q27" s="435" t="s">
        <v>559</v>
      </c>
      <c r="R27" s="441"/>
    </row>
    <row r="28" spans="2:26" ht="52.5" customHeight="1" thickBot="1" x14ac:dyDescent="0.4">
      <c r="B28" s="461"/>
      <c r="C28" s="156" t="s">
        <v>456</v>
      </c>
      <c r="D28" s="157" t="s">
        <v>425</v>
      </c>
      <c r="E28" s="157" t="s">
        <v>20</v>
      </c>
      <c r="F28" s="350" t="s">
        <v>267</v>
      </c>
      <c r="G28" s="348" t="s">
        <v>106</v>
      </c>
      <c r="H28" s="434"/>
      <c r="J28" s="457"/>
      <c r="K28" s="154" t="s">
        <v>456</v>
      </c>
      <c r="L28" s="155" t="s">
        <v>425</v>
      </c>
      <c r="M28" s="155" t="s">
        <v>20</v>
      </c>
      <c r="N28" s="351" t="s">
        <v>537</v>
      </c>
      <c r="O28" s="349" t="s">
        <v>106</v>
      </c>
      <c r="P28" s="436"/>
      <c r="Q28" s="154" t="s">
        <v>560</v>
      </c>
      <c r="R28" s="357" t="s">
        <v>558</v>
      </c>
    </row>
    <row r="29" spans="2:26" x14ac:dyDescent="0.35">
      <c r="B29" s="9">
        <v>2015</v>
      </c>
      <c r="C29" s="5">
        <f>RefTables!C23/1000+(RefTables!$F$49*RefTables!$F$57/RefTables!E23)*10^-6</f>
        <v>262.16001363122507</v>
      </c>
      <c r="D29" s="110">
        <f>-Inputs_SupplyCurve!AB9*10^-6</f>
        <v>-14.748059417778327</v>
      </c>
      <c r="E29" s="110">
        <f>-(Inputs_SupplyCurve!AC9+Inputs_SupplyCurve!AD9)*10^-6-RefTables!C284</f>
        <v>-11.961418513571806</v>
      </c>
      <c r="F29" s="342">
        <f>Inputs_AnnualElectric!I16*10^-6</f>
        <v>181.64122999999998</v>
      </c>
      <c r="G29" s="345">
        <f t="shared" ref="G29:G44" si="5">-O8/1000</f>
        <v>-4.0170000000000006E-3</v>
      </c>
      <c r="H29" s="278">
        <f t="shared" ref="H29:H44" si="6">SUM(C29:E29,F29,G29)</f>
        <v>417.08774869987496</v>
      </c>
      <c r="I29" s="77"/>
      <c r="J29" s="9">
        <v>2015</v>
      </c>
      <c r="K29" s="5">
        <f>C29*RefTables!$O139</f>
        <v>13.786087607379818</v>
      </c>
      <c r="L29" s="3">
        <f>D29*RefTables!$O139</f>
        <v>-0.77554939197683359</v>
      </c>
      <c r="M29" s="3">
        <f>E29*RefTables!$O139</f>
        <v>-0.62900959323491168</v>
      </c>
      <c r="N29" s="342">
        <f>Inputs_AnnualElectric!J16*10^-6</f>
        <v>18.258555953939162</v>
      </c>
      <c r="O29" s="345">
        <f>O8*RefTables!I165/1000</f>
        <v>9.7962852301197603E-5</v>
      </c>
      <c r="P29" s="342">
        <f t="shared" ref="P29:P44" si="7">SUM(K29:M29,N29,O29)</f>
        <v>30.640182538959536</v>
      </c>
      <c r="Q29" s="5" t="s">
        <v>561</v>
      </c>
      <c r="R29" s="358" t="s">
        <v>561</v>
      </c>
    </row>
    <row r="30" spans="2:26" x14ac:dyDescent="0.35">
      <c r="B30" s="10">
        <v>2016</v>
      </c>
      <c r="C30" s="7">
        <f>RefTables!C24/1000+(RefTables!$F$49*RefTables!$F$57/RefTables!E24)*10^-6</f>
        <v>266.66263355879875</v>
      </c>
      <c r="D30" s="111">
        <f>-Inputs_SupplyCurve!AB10*10^-6</f>
        <v>-17.091628128484885</v>
      </c>
      <c r="E30" s="111">
        <f>-(Inputs_SupplyCurve!AC10+Inputs_SupplyCurve!AD10)*10^-6-RefTables!C285</f>
        <v>-13.670192586939207</v>
      </c>
      <c r="F30" s="343">
        <f>Inputs_AnnualElectric!I17*10^-6</f>
        <v>186.64653999999999</v>
      </c>
      <c r="G30" s="346">
        <f t="shared" si="5"/>
        <v>0</v>
      </c>
      <c r="H30" s="279">
        <f t="shared" si="6"/>
        <v>422.5473528433746</v>
      </c>
      <c r="I30" s="77"/>
      <c r="J30" s="10">
        <v>2016</v>
      </c>
      <c r="K30" s="7">
        <f>C30*RefTables!$O140</f>
        <v>14.023318260131667</v>
      </c>
      <c r="L30" s="4">
        <f>D30*RefTables!$O140</f>
        <v>-0.89881862198256846</v>
      </c>
      <c r="M30" s="4">
        <f>E30*RefTables!$O140</f>
        <v>-0.71889135258866788</v>
      </c>
      <c r="N30" s="343">
        <f>Inputs_AnnualElectric!J17*10^-6</f>
        <v>18.319874335480545</v>
      </c>
      <c r="O30" s="346">
        <f>O9*RefTables!I166/1000</f>
        <v>0</v>
      </c>
      <c r="P30" s="343">
        <f t="shared" si="7"/>
        <v>30.725482621040975</v>
      </c>
      <c r="Q30" s="7" t="s">
        <v>561</v>
      </c>
      <c r="R30" s="359" t="s">
        <v>561</v>
      </c>
    </row>
    <row r="31" spans="2:26" x14ac:dyDescent="0.35">
      <c r="B31" s="10">
        <v>2017</v>
      </c>
      <c r="C31" s="7">
        <f>RefTables!C25/1000+(RefTables!$F$49*RefTables!$F$57/RefTables!E25)*10^-6</f>
        <v>269.91601236696005</v>
      </c>
      <c r="D31" s="111">
        <f>-Inputs_SupplyCurve!AB11*10^-6</f>
        <v>-19.586736639191439</v>
      </c>
      <c r="E31" s="111">
        <f>-(Inputs_SupplyCurve!AC11+Inputs_SupplyCurve!AD11)*10^-6-RefTables!C286</f>
        <v>-15.378966660306608</v>
      </c>
      <c r="F31" s="343">
        <f>Inputs_AnnualElectric!I18*10^-6</f>
        <v>195.04713999999998</v>
      </c>
      <c r="G31" s="346">
        <f t="shared" si="5"/>
        <v>0</v>
      </c>
      <c r="H31" s="279">
        <f t="shared" si="6"/>
        <v>429.99744906746196</v>
      </c>
      <c r="I31" s="77"/>
      <c r="J31" s="10">
        <v>2017</v>
      </c>
      <c r="K31" s="7">
        <f>C31*RefTables!$O141</f>
        <v>14.194624727085387</v>
      </c>
      <c r="L31" s="4">
        <f>D31*RefTables!$O141</f>
        <v>-1.0300477314535521</v>
      </c>
      <c r="M31" s="4">
        <f>E31*RefTables!$O141</f>
        <v>-0.80876513593652766</v>
      </c>
      <c r="N31" s="343">
        <f>Inputs_AnnualElectric!J18*10^-6</f>
        <v>17.758654564243287</v>
      </c>
      <c r="O31" s="346">
        <f>O10*RefTables!I167/1000</f>
        <v>0</v>
      </c>
      <c r="P31" s="343">
        <f t="shared" si="7"/>
        <v>30.114466423938595</v>
      </c>
      <c r="Q31" s="7" t="s">
        <v>561</v>
      </c>
      <c r="R31" s="359" t="s">
        <v>561</v>
      </c>
    </row>
    <row r="32" spans="2:26" x14ac:dyDescent="0.35">
      <c r="B32" s="10">
        <v>2018</v>
      </c>
      <c r="C32" s="7">
        <f>RefTables!C26/1000+(RefTables!$F$49*RefTables!$F$57/RefTables!E26)*10^-6</f>
        <v>273.65353546042417</v>
      </c>
      <c r="D32" s="111">
        <f>-Inputs_SupplyCurve!AB12*10^-6</f>
        <v>-21.682223169897995</v>
      </c>
      <c r="E32" s="111">
        <f>-(Inputs_SupplyCurve!AC12+Inputs_SupplyCurve!AD12)*10^-6-RefTables!C287</f>
        <v>-17.087740733674007</v>
      </c>
      <c r="F32" s="343">
        <f>Inputs_AnnualElectric!I19*10^-6</f>
        <v>195.63288</v>
      </c>
      <c r="G32" s="346">
        <f t="shared" si="5"/>
        <v>0</v>
      </c>
      <c r="H32" s="279">
        <f t="shared" si="6"/>
        <v>430.51645155685219</v>
      </c>
      <c r="I32" s="77"/>
      <c r="J32" s="10">
        <v>2018</v>
      </c>
      <c r="K32" s="7">
        <f>C32*RefTables!$O142</f>
        <v>14.392299716320712</v>
      </c>
      <c r="L32" s="4">
        <f>D32*RefTables!$O142</f>
        <v>-1.1403362790555105</v>
      </c>
      <c r="M32" s="4">
        <f>E32*RefTables!$O142</f>
        <v>-0.8986980040292043</v>
      </c>
      <c r="N32" s="343">
        <f>Inputs_AnnualElectric!J19*10^-6</f>
        <v>17.034656629525323</v>
      </c>
      <c r="O32" s="346">
        <f>O11*RefTables!I168/1000</f>
        <v>0</v>
      </c>
      <c r="P32" s="343">
        <f t="shared" si="7"/>
        <v>29.387922062761319</v>
      </c>
      <c r="Q32" s="7" t="s">
        <v>561</v>
      </c>
      <c r="R32" s="359" t="s">
        <v>561</v>
      </c>
    </row>
    <row r="33" spans="2:18" x14ac:dyDescent="0.35">
      <c r="B33" s="10">
        <v>2019</v>
      </c>
      <c r="C33" s="7">
        <f>RefTables!C27/1000+(RefTables!$F$49*RefTables!$F$57/RefTables!E27)*10^-6</f>
        <v>277.53709599613234</v>
      </c>
      <c r="D33" s="111">
        <f>-Inputs_SupplyCurve!AB13*10^-6</f>
        <v>-23.618286660152062</v>
      </c>
      <c r="E33" s="111">
        <f>-(Inputs_SupplyCurve!AC13+Inputs_SupplyCurve!AD13)*10^-6-RefTables!C288</f>
        <v>-18.796514807041408</v>
      </c>
      <c r="F33" s="343">
        <f>Inputs_AnnualElectric!I20*10^-6</f>
        <v>200.95726999999999</v>
      </c>
      <c r="G33" s="346">
        <f t="shared" si="5"/>
        <v>0</v>
      </c>
      <c r="H33" s="279">
        <f t="shared" si="6"/>
        <v>436.07956452893887</v>
      </c>
      <c r="I33" s="77"/>
      <c r="J33" s="10">
        <v>2019</v>
      </c>
      <c r="K33" s="7">
        <f>C33*RefTables!$O143</f>
        <v>14.597233580002769</v>
      </c>
      <c r="L33" s="4">
        <f>D33*RefTables!$O143</f>
        <v>-1.2422182551859935</v>
      </c>
      <c r="M33" s="4">
        <f>E33*RefTables!$O143</f>
        <v>-0.98861421080873357</v>
      </c>
      <c r="N33" s="343">
        <f>Inputs_AnnualElectric!J20*10^-6</f>
        <v>17.325202838594535</v>
      </c>
      <c r="O33" s="346">
        <f>O12*RefTables!I169/1000</f>
        <v>0</v>
      </c>
      <c r="P33" s="343">
        <f t="shared" si="7"/>
        <v>29.691603952602577</v>
      </c>
      <c r="Q33" s="7" t="s">
        <v>561</v>
      </c>
      <c r="R33" s="359" t="s">
        <v>561</v>
      </c>
    </row>
    <row r="34" spans="2:18" x14ac:dyDescent="0.35">
      <c r="B34" s="10">
        <v>2020</v>
      </c>
      <c r="C34" s="7">
        <f>RefTables!C28/1000+(RefTables!$F$49*RefTables!$F$57/RefTables!E28)*10^-6</f>
        <v>278.89570810406974</v>
      </c>
      <c r="D34" s="111">
        <f>-Inputs_SupplyCurve!AB14*10^-6</f>
        <v>-25.635616580858617</v>
      </c>
      <c r="E34" s="111">
        <f>-(Inputs_SupplyCurve!AC14+Inputs_SupplyCurve!AD14)*10^-6-RefTables!C289</f>
        <v>-20.505288880408809</v>
      </c>
      <c r="F34" s="343">
        <f>Inputs_AnnualElectric!I21*10^-6</f>
        <v>251.26518999999999</v>
      </c>
      <c r="G34" s="346">
        <f t="shared" si="5"/>
        <v>0</v>
      </c>
      <c r="H34" s="279">
        <f t="shared" si="6"/>
        <v>484.01999264280232</v>
      </c>
      <c r="I34" s="77"/>
      <c r="J34" s="10">
        <v>2020</v>
      </c>
      <c r="K34" s="7">
        <f>C34*RefTables!$O144</f>
        <v>14.669979949578757</v>
      </c>
      <c r="L34" s="4">
        <f>D34*RefTables!$O144</f>
        <v>-1.3484394714885783</v>
      </c>
      <c r="M34" s="4">
        <f>E34*RefTables!$O144</f>
        <v>-1.0785830258229345</v>
      </c>
      <c r="N34" s="343">
        <f>Inputs_AnnualElectric!J21*10^-6</f>
        <v>17.175214612417729</v>
      </c>
      <c r="O34" s="346">
        <f>O13*RefTables!I170/1000</f>
        <v>0</v>
      </c>
      <c r="P34" s="238">
        <f t="shared" si="7"/>
        <v>29.418172064684974</v>
      </c>
      <c r="Q34" s="7">
        <f>RefTables!$F$227</f>
        <v>23.326496260794567</v>
      </c>
      <c r="R34" s="360" t="str">
        <f>IF(P34&lt;=Q34,"Yes","No")</f>
        <v>No</v>
      </c>
    </row>
    <row r="35" spans="2:18" x14ac:dyDescent="0.35">
      <c r="B35" s="10">
        <v>2021</v>
      </c>
      <c r="C35" s="7">
        <f>RefTables!C29/1000+(RefTables!$F$49*RefTables!$F$57/RefTables!E29)*10^-6</f>
        <v>280.26111327254694</v>
      </c>
      <c r="D35" s="111">
        <f>-Inputs_SupplyCurve!AB15*10^-6</f>
        <v>-27.052987367565176</v>
      </c>
      <c r="E35" s="111">
        <f>-(Inputs_SupplyCurve!AC15+Inputs_SupplyCurve!AD15)*10^-6-RefTables!C290</f>
        <v>-21.902927372914633</v>
      </c>
      <c r="F35" s="343">
        <f>Inputs_AnnualElectric!I22*10^-6</f>
        <v>241.76966999999999</v>
      </c>
      <c r="G35" s="346">
        <f t="shared" si="5"/>
        <v>0</v>
      </c>
      <c r="H35" s="279">
        <f t="shared" si="6"/>
        <v>473.07486853206711</v>
      </c>
      <c r="I35" s="77"/>
      <c r="J35" s="10">
        <v>2021</v>
      </c>
      <c r="K35" s="7">
        <f>C35*RefTables!$O145</f>
        <v>14.744523354157211</v>
      </c>
      <c r="L35" s="4">
        <f>D35*RefTables!$O145</f>
        <v>-1.4232563318653508</v>
      </c>
      <c r="M35" s="4">
        <f>E35*RefTables!$O145</f>
        <v>-1.1523119294123763</v>
      </c>
      <c r="N35" s="343">
        <f>Inputs_AnnualElectric!J22*10^-6</f>
        <v>17.024849883469695</v>
      </c>
      <c r="O35" s="346">
        <f>O14*RefTables!I171/1000</f>
        <v>0</v>
      </c>
      <c r="P35" s="343">
        <f t="shared" si="7"/>
        <v>29.193804976349178</v>
      </c>
      <c r="Q35" s="7" t="s">
        <v>561</v>
      </c>
      <c r="R35" s="359" t="s">
        <v>561</v>
      </c>
    </row>
    <row r="36" spans="2:18" x14ac:dyDescent="0.35">
      <c r="B36" s="10">
        <v>2022</v>
      </c>
      <c r="C36" s="7">
        <f>RefTables!C30/1000+(RefTables!$F$49*RefTables!$F$57/RefTables!E30)*10^-6</f>
        <v>281.63334546686644</v>
      </c>
      <c r="D36" s="111">
        <f>-Inputs_SupplyCurve!AB16*10^-6</f>
        <v>-28.468973174548733</v>
      </c>
      <c r="E36" s="111">
        <f>-(Inputs_SupplyCurve!AC16+Inputs_SupplyCurve!AD16)*10^-6-RefTables!C291</f>
        <v>-23.300565865420459</v>
      </c>
      <c r="F36" s="343">
        <f>Inputs_AnnualElectric!I23*10^-6</f>
        <v>227.2139</v>
      </c>
      <c r="G36" s="346">
        <f t="shared" si="5"/>
        <v>0</v>
      </c>
      <c r="H36" s="279">
        <f t="shared" si="6"/>
        <v>457.07770642689729</v>
      </c>
      <c r="I36" s="77"/>
      <c r="J36" s="10">
        <v>2022</v>
      </c>
      <c r="K36" s="7">
        <f>C36*RefTables!$O146</f>
        <v>14.820700159149807</v>
      </c>
      <c r="L36" s="4">
        <f>D36*RefTables!$O146</f>
        <v>-1.4981539723551844</v>
      </c>
      <c r="M36" s="4">
        <f>E36*RefTables!$O146</f>
        <v>-1.2261712108609133</v>
      </c>
      <c r="N36" s="343">
        <f>Inputs_AnnualElectric!J23*10^-6</f>
        <v>16.717505044027561</v>
      </c>
      <c r="O36" s="346">
        <f>O15*RefTables!I172/1000</f>
        <v>0</v>
      </c>
      <c r="P36" s="343">
        <f t="shared" si="7"/>
        <v>28.813880019961267</v>
      </c>
      <c r="Q36" s="7" t="s">
        <v>561</v>
      </c>
      <c r="R36" s="359" t="s">
        <v>561</v>
      </c>
    </row>
    <row r="37" spans="2:18" x14ac:dyDescent="0.35">
      <c r="B37" s="10">
        <v>2023</v>
      </c>
      <c r="C37" s="7">
        <f>RefTables!C31/1000+(RefTables!$F$49*RefTables!$F$57/RefTables!E31)*10^-6</f>
        <v>283.01243882215761</v>
      </c>
      <c r="D37" s="111">
        <f>-Inputs_SupplyCurve!AB17*10^-6</f>
        <v>-29.125728491427559</v>
      </c>
      <c r="E37" s="111">
        <f>-(Inputs_SupplyCurve!AC17+Inputs_SupplyCurve!AD17)*10^-6-RefTables!C292</f>
        <v>-24.698204357926286</v>
      </c>
      <c r="F37" s="343">
        <f>Inputs_AnnualElectric!I24*10^-6</f>
        <v>228.78360999999998</v>
      </c>
      <c r="G37" s="346">
        <f t="shared" si="5"/>
        <v>0</v>
      </c>
      <c r="H37" s="279">
        <f t="shared" si="6"/>
        <v>457.97211597280375</v>
      </c>
      <c r="I37" s="77"/>
      <c r="J37" s="10">
        <v>2023</v>
      </c>
      <c r="K37" s="7">
        <f>C37*RefTables!$O147</f>
        <v>14.898140021790372</v>
      </c>
      <c r="L37" s="4">
        <f>D37*RefTables!$O147</f>
        <v>-1.5332159360479836</v>
      </c>
      <c r="M37" s="4">
        <f>E37*RefTables!$O147</f>
        <v>-1.3001453517115549</v>
      </c>
      <c r="N37" s="343">
        <f>Inputs_AnnualElectric!J24*10^-6</f>
        <v>16.82593228219547</v>
      </c>
      <c r="O37" s="346">
        <f>O16*RefTables!I173/1000</f>
        <v>0</v>
      </c>
      <c r="P37" s="343">
        <f t="shared" si="7"/>
        <v>28.890711016226305</v>
      </c>
      <c r="Q37" s="7" t="s">
        <v>561</v>
      </c>
      <c r="R37" s="359" t="s">
        <v>561</v>
      </c>
    </row>
    <row r="38" spans="2:18" x14ac:dyDescent="0.35">
      <c r="B38" s="10">
        <v>2024</v>
      </c>
      <c r="C38" s="7">
        <f>RefTables!C32/1000+(RefTables!$F$49*RefTables!$F$57/RefTables!E32)*10^-6</f>
        <v>284.39842764422514</v>
      </c>
      <c r="D38" s="111">
        <f>-Inputs_SupplyCurve!AB18*10^-6</f>
        <v>-29.983280079358845</v>
      </c>
      <c r="E38" s="111">
        <f>-(Inputs_SupplyCurve!AC18+Inputs_SupplyCurve!AD18)*10^-6-RefTables!C293</f>
        <v>-26.095842850432113</v>
      </c>
      <c r="F38" s="343">
        <f>Inputs_AnnualElectric!I25*10^-6</f>
        <v>240.70532999999998</v>
      </c>
      <c r="G38" s="346">
        <f t="shared" si="5"/>
        <v>0</v>
      </c>
      <c r="H38" s="279">
        <f t="shared" si="6"/>
        <v>469.02463471443411</v>
      </c>
      <c r="I38" s="77"/>
      <c r="J38" s="10">
        <v>2024</v>
      </c>
      <c r="K38" s="7">
        <f>C38*RefTables!$O148</f>
        <v>14.978332305599096</v>
      </c>
      <c r="L38" s="4">
        <f>D38*RefTables!$O148</f>
        <v>-1.5791210111832896</v>
      </c>
      <c r="M38" s="4">
        <f>E38*RefTables!$O148</f>
        <v>-1.3743824438348697</v>
      </c>
      <c r="N38" s="343">
        <f>Inputs_AnnualElectric!J25*10^-6</f>
        <v>16.65157218381329</v>
      </c>
      <c r="O38" s="346">
        <f>O17*RefTables!I174/1000</f>
        <v>0</v>
      </c>
      <c r="P38" s="343">
        <f t="shared" si="7"/>
        <v>28.676401034394225</v>
      </c>
      <c r="Q38" s="7" t="s">
        <v>561</v>
      </c>
      <c r="R38" s="359" t="s">
        <v>561</v>
      </c>
    </row>
    <row r="39" spans="2:18" x14ac:dyDescent="0.35">
      <c r="B39" s="10">
        <v>2025</v>
      </c>
      <c r="C39" s="7">
        <f>RefTables!C33/1000+(RefTables!$F$49*RefTables!$F$57/RefTables!E33)*10^-6</f>
        <v>285.79134641040304</v>
      </c>
      <c r="D39" s="111">
        <f>-Inputs_SupplyCurve!AB19*10^-6</f>
        <v>-30.728406772124394</v>
      </c>
      <c r="E39" s="111">
        <f>-(Inputs_SupplyCurve!AC19+Inputs_SupplyCurve!AD19)*10^-6-RefTables!C294</f>
        <v>-27.49348134293794</v>
      </c>
      <c r="F39" s="343">
        <f>Inputs_AnnualElectric!I26*10^-6</f>
        <v>243.77937</v>
      </c>
      <c r="G39" s="346">
        <f t="shared" si="5"/>
        <v>0</v>
      </c>
      <c r="H39" s="279">
        <f t="shared" si="6"/>
        <v>471.3488282953407</v>
      </c>
      <c r="I39" s="77"/>
      <c r="J39" s="10">
        <v>2025</v>
      </c>
      <c r="K39" s="7">
        <f>C39*RefTables!$O149</f>
        <v>15.060203172349356</v>
      </c>
      <c r="L39" s="4">
        <f>D39*RefTables!$O149</f>
        <v>-1.6192794322268669</v>
      </c>
      <c r="M39" s="4">
        <f>E39*RefTables!$O149</f>
        <v>-1.4488101901631609</v>
      </c>
      <c r="N39" s="343">
        <f>Inputs_AnnualElectric!J26*10^-6</f>
        <v>16.849658903717643</v>
      </c>
      <c r="O39" s="346">
        <f>O18*RefTables!I175/1000</f>
        <v>0</v>
      </c>
      <c r="P39" s="343">
        <f t="shared" si="7"/>
        <v>28.84177245367697</v>
      </c>
      <c r="Q39" s="7" t="s">
        <v>561</v>
      </c>
      <c r="R39" s="359" t="s">
        <v>561</v>
      </c>
    </row>
    <row r="40" spans="2:18" x14ac:dyDescent="0.35">
      <c r="B40" s="10">
        <v>2026</v>
      </c>
      <c r="C40" s="7">
        <f>RefTables!C34/1000+(RefTables!$F$49*RefTables!$F$57/RefTables!E34)*10^-6</f>
        <v>287.19122977041189</v>
      </c>
      <c r="D40" s="111">
        <f>-Inputs_SupplyCurve!AB20*10^-6</f>
        <v>-31.426386723627939</v>
      </c>
      <c r="E40" s="111">
        <f>-(Inputs_SupplyCurve!AC20+Inputs_SupplyCurve!AD20)*10^-6-RefTables!C295</f>
        <v>-28.891119835443767</v>
      </c>
      <c r="F40" s="343">
        <f>Inputs_AnnualElectric!I27*10^-6</f>
        <v>241.12626</v>
      </c>
      <c r="G40" s="346">
        <f t="shared" si="5"/>
        <v>0</v>
      </c>
      <c r="H40" s="279">
        <f t="shared" si="6"/>
        <v>467.99998321134024</v>
      </c>
      <c r="I40" s="77"/>
      <c r="J40" s="10">
        <v>2026</v>
      </c>
      <c r="K40" s="7">
        <f>C40*RefTables!$O150</f>
        <v>15.1445745280541</v>
      </c>
      <c r="L40" s="4">
        <f>D40*RefTables!$O150</f>
        <v>-1.6572207175821887</v>
      </c>
      <c r="M40" s="4">
        <f>E40*RefTables!$O150</f>
        <v>-1.5235274346525276</v>
      </c>
      <c r="N40" s="343">
        <f>Inputs_AnnualElectric!J27*10^-6</f>
        <v>16.69789332726026</v>
      </c>
      <c r="O40" s="346">
        <f>O19*RefTables!I176/1000</f>
        <v>0</v>
      </c>
      <c r="P40" s="343">
        <f t="shared" si="7"/>
        <v>28.661719703079648</v>
      </c>
      <c r="Q40" s="7" t="s">
        <v>561</v>
      </c>
      <c r="R40" s="359" t="s">
        <v>561</v>
      </c>
    </row>
    <row r="41" spans="2:18" x14ac:dyDescent="0.35">
      <c r="B41" s="10">
        <v>2027</v>
      </c>
      <c r="C41" s="7">
        <f>RefTables!C35/1000+(RefTables!$F$49*RefTables!$F$57/RefTables!E35)*10^-6</f>
        <v>288.59811254722075</v>
      </c>
      <c r="D41" s="111">
        <f>-Inputs_SupplyCurve!AB21*10^-6</f>
        <v>-31.803543473251491</v>
      </c>
      <c r="E41" s="111">
        <f>-(Inputs_SupplyCurve!AC21+Inputs_SupplyCurve!AD21)*10^-6-RefTables!C296</f>
        <v>-30.288758327949594</v>
      </c>
      <c r="F41" s="343">
        <f>Inputs_AnnualElectric!I28*10^-6</f>
        <v>238.44263999999998</v>
      </c>
      <c r="G41" s="346">
        <f t="shared" si="5"/>
        <v>0</v>
      </c>
      <c r="H41" s="279">
        <f t="shared" si="6"/>
        <v>464.94845074601966</v>
      </c>
      <c r="I41" s="77"/>
      <c r="J41" s="10">
        <v>2027</v>
      </c>
      <c r="K41" s="7">
        <f>C41*RefTables!$O151</f>
        <v>15.228800504361317</v>
      </c>
      <c r="L41" s="4">
        <f>D41*RefTables!$O151</f>
        <v>-1.6782154762245118</v>
      </c>
      <c r="M41" s="4">
        <f>E41*RefTables!$O151</f>
        <v>-1.5982830034125213</v>
      </c>
      <c r="N41" s="343">
        <f>Inputs_AnnualElectric!J28*10^-6</f>
        <v>16.745402234121109</v>
      </c>
      <c r="O41" s="346">
        <f>O20*RefTables!I177/1000</f>
        <v>0</v>
      </c>
      <c r="P41" s="343">
        <f t="shared" si="7"/>
        <v>28.697704258845391</v>
      </c>
      <c r="Q41" s="7" t="s">
        <v>561</v>
      </c>
      <c r="R41" s="359" t="s">
        <v>561</v>
      </c>
    </row>
    <row r="42" spans="2:18" x14ac:dyDescent="0.35">
      <c r="B42" s="10">
        <v>2028</v>
      </c>
      <c r="C42" s="7">
        <f>RefTables!C36/1000+(RefTables!$F$49*RefTables!$F$57/RefTables!E36)*10^-6</f>
        <v>290.01202973791362</v>
      </c>
      <c r="D42" s="111">
        <f>-Inputs_SupplyCurve!AB22*10^-6</f>
        <v>-32.222571702737888</v>
      </c>
      <c r="E42" s="111">
        <f>-(Inputs_SupplyCurve!AC22+Inputs_SupplyCurve!AD22)*10^-6-RefTables!C297</f>
        <v>-31.686396820455421</v>
      </c>
      <c r="F42" s="343">
        <f>Inputs_AnnualElectric!I29*10^-6</f>
        <v>256.13029</v>
      </c>
      <c r="G42" s="346">
        <f t="shared" si="5"/>
        <v>0</v>
      </c>
      <c r="H42" s="279">
        <f t="shared" si="6"/>
        <v>482.2333512147203</v>
      </c>
      <c r="I42" s="77"/>
      <c r="J42" s="10">
        <v>2028</v>
      </c>
      <c r="K42" s="7">
        <f>C42*RefTables!$O152</f>
        <v>15.322748535150183</v>
      </c>
      <c r="L42" s="4">
        <f>D42*RefTables!$O152</f>
        <v>-1.7024754587011246</v>
      </c>
      <c r="M42" s="4">
        <f>E42*RefTables!$O152</f>
        <v>-1.6741467273050423</v>
      </c>
      <c r="N42" s="343">
        <f>Inputs_AnnualElectric!J29*10^-6</f>
        <v>16.928249323094011</v>
      </c>
      <c r="O42" s="346">
        <f>O21*RefTables!I178/1000</f>
        <v>0</v>
      </c>
      <c r="P42" s="343">
        <f t="shared" si="7"/>
        <v>28.874375672238028</v>
      </c>
      <c r="Q42" s="7" t="s">
        <v>561</v>
      </c>
      <c r="R42" s="359" t="s">
        <v>561</v>
      </c>
    </row>
    <row r="43" spans="2:18" x14ac:dyDescent="0.35">
      <c r="B43" s="10">
        <v>2029</v>
      </c>
      <c r="C43" s="7">
        <f>RefTables!C37/1000+(RefTables!$F$49*RefTables!$F$57/RefTables!E37)*10^-6</f>
        <v>291.43301651455999</v>
      </c>
      <c r="D43" s="111">
        <f>-Inputs_SupplyCurve!AB23*10^-6</f>
        <v>-32.385060664157564</v>
      </c>
      <c r="E43" s="111">
        <f>-(Inputs_SupplyCurve!AC23+Inputs_SupplyCurve!AD23)*10^-6-RefTables!C298</f>
        <v>-33.084035312961248</v>
      </c>
      <c r="F43" s="343">
        <f>Inputs_AnnualElectric!I30*10^-6</f>
        <v>257.64718999999997</v>
      </c>
      <c r="G43" s="346">
        <f t="shared" si="5"/>
        <v>0</v>
      </c>
      <c r="H43" s="279">
        <f t="shared" si="6"/>
        <v>483.61111053744116</v>
      </c>
      <c r="I43" s="77"/>
      <c r="J43" s="10">
        <v>2029</v>
      </c>
      <c r="K43" s="7">
        <f>C43*RefTables!$O153</f>
        <v>15.419922484150035</v>
      </c>
      <c r="L43" s="4">
        <f>D43*RefTables!$O153</f>
        <v>-1.7135159600588952</v>
      </c>
      <c r="M43" s="4">
        <f>E43*RefTables!$O153</f>
        <v>-1.7504991921986219</v>
      </c>
      <c r="N43" s="343">
        <f>Inputs_AnnualElectric!J30*10^-6</f>
        <v>17.224726186739755</v>
      </c>
      <c r="O43" s="346">
        <f>O22*RefTables!I179/1000</f>
        <v>0</v>
      </c>
      <c r="P43" s="343">
        <f t="shared" si="7"/>
        <v>29.180633518632273</v>
      </c>
      <c r="Q43" s="7" t="s">
        <v>561</v>
      </c>
      <c r="R43" s="359" t="s">
        <v>561</v>
      </c>
    </row>
    <row r="44" spans="2:18" ht="19.5" customHeight="1" thickBot="1" x14ac:dyDescent="0.4">
      <c r="B44" s="11">
        <v>2030</v>
      </c>
      <c r="C44" s="12">
        <f>RefTables!C38/1000+(RefTables!$F$49*RefTables!$F$57/RefTables!E38)*10^-6</f>
        <v>292.86110822508959</v>
      </c>
      <c r="D44" s="112">
        <f>-Inputs_SupplyCurve!AB24*10^-6</f>
        <v>-32.476279534409336</v>
      </c>
      <c r="E44" s="112">
        <f>-(Inputs_SupplyCurve!AC24+Inputs_SupplyCurve!AD24)*10^-6-RefTables!C299</f>
        <v>-34.481673805467061</v>
      </c>
      <c r="F44" s="344">
        <f>Inputs_AnnualElectric!I31*10^-6</f>
        <v>243.70029</v>
      </c>
      <c r="G44" s="347">
        <f t="shared" si="5"/>
        <v>0</v>
      </c>
      <c r="H44" s="280">
        <f t="shared" si="6"/>
        <v>469.60344488521321</v>
      </c>
      <c r="I44" s="77"/>
      <c r="J44" s="11">
        <v>2030</v>
      </c>
      <c r="K44" s="12">
        <f>C44*RefTables!$O154</f>
        <v>15.520942419121136</v>
      </c>
      <c r="L44" s="13">
        <f>D44*RefTables!$O154</f>
        <v>-1.7211655985861838</v>
      </c>
      <c r="M44" s="13">
        <f>E44*RefTables!$O154</f>
        <v>-1.8274467268567207</v>
      </c>
      <c r="N44" s="344">
        <f>Inputs_AnnualElectric!J31*10^-6</f>
        <v>16.843398512807443</v>
      </c>
      <c r="O44" s="347">
        <f>O23*RefTables!I180/1000</f>
        <v>0</v>
      </c>
      <c r="P44" s="239">
        <f t="shared" si="7"/>
        <v>28.815728606485674</v>
      </c>
      <c r="Q44" s="12">
        <f>RefTables!$G$227</f>
        <v>18.676721162166132</v>
      </c>
      <c r="R44" s="361" t="str">
        <f>IF(P44&lt;=Q44,"Yes","No")</f>
        <v>No</v>
      </c>
    </row>
    <row r="45" spans="2:18" ht="18" thickBot="1" x14ac:dyDescent="0.4">
      <c r="C45" s="184"/>
      <c r="D45" s="184"/>
      <c r="E45" s="184"/>
      <c r="F45" s="184"/>
      <c r="H45" s="184"/>
    </row>
    <row r="46" spans="2:18" ht="19.5" customHeight="1" x14ac:dyDescent="0.4">
      <c r="B46" s="444" t="s">
        <v>266</v>
      </c>
      <c r="C46" s="448" t="s">
        <v>438</v>
      </c>
      <c r="D46" s="449"/>
      <c r="E46" s="449"/>
      <c r="F46" s="449"/>
      <c r="G46" s="449"/>
      <c r="H46" s="449"/>
      <c r="I46" s="449"/>
      <c r="J46" s="449"/>
      <c r="K46" s="449"/>
      <c r="L46" s="450"/>
      <c r="M46" s="448" t="s">
        <v>439</v>
      </c>
      <c r="N46" s="449"/>
      <c r="O46" s="449"/>
      <c r="P46" s="450"/>
      <c r="Q46" s="442" t="s">
        <v>426</v>
      </c>
    </row>
    <row r="47" spans="2:18" ht="52.5" thickBot="1" x14ac:dyDescent="0.4">
      <c r="B47" s="445"/>
      <c r="C47" s="151" t="s">
        <v>456</v>
      </c>
      <c r="D47" s="152" t="s">
        <v>425</v>
      </c>
      <c r="E47" s="152" t="s">
        <v>424</v>
      </c>
      <c r="F47" s="152" t="s">
        <v>349</v>
      </c>
      <c r="G47" s="152" t="s">
        <v>329</v>
      </c>
      <c r="H47" s="152" t="s">
        <v>328</v>
      </c>
      <c r="I47" s="152" t="s">
        <v>267</v>
      </c>
      <c r="J47" s="152" t="s">
        <v>107</v>
      </c>
      <c r="K47" s="152" t="s">
        <v>106</v>
      </c>
      <c r="L47" s="152" t="s">
        <v>1</v>
      </c>
      <c r="M47" s="151" t="s">
        <v>20</v>
      </c>
      <c r="N47" s="152" t="s">
        <v>429</v>
      </c>
      <c r="O47" s="152" t="s">
        <v>430</v>
      </c>
      <c r="P47" s="153" t="s">
        <v>1</v>
      </c>
      <c r="Q47" s="443"/>
    </row>
    <row r="48" spans="2:18" x14ac:dyDescent="0.35">
      <c r="B48" s="9">
        <v>2015</v>
      </c>
      <c r="C48" s="286">
        <f>(C29+SUM(D29:E29))*RefTables!$H189</f>
        <v>873.07298178946098</v>
      </c>
      <c r="D48" s="283">
        <f>Inputs_SupplyCurve!M9</f>
        <v>137.59396913152196</v>
      </c>
      <c r="E48" s="283">
        <f>Inputs_SupplyCurve!P9</f>
        <v>506.56634289154363</v>
      </c>
      <c r="F48" s="283">
        <f>Inputs_SupplyCurve!Q9</f>
        <v>97.003539999999987</v>
      </c>
      <c r="G48" s="283">
        <f>SUMIFS(PriceSpikes!$M$7:$M$198,PriceSpikes!$B$7:$B$198,B48)</f>
        <v>0</v>
      </c>
      <c r="H48" s="283">
        <f>BalancingMeasures!$M$15*S8*10^-6</f>
        <v>0</v>
      </c>
      <c r="I48" s="283">
        <f>Inputs_AnnualElectric!K16</f>
        <v>2181.3591160409874</v>
      </c>
      <c r="J48" s="283">
        <f>T8*BalancingMeasures!$I$10*10^-6</f>
        <v>0.252</v>
      </c>
      <c r="K48" s="283">
        <f>U8*BalancingMeasures!$J$9/1000</f>
        <v>12.051</v>
      </c>
      <c r="L48" s="283">
        <f t="shared" ref="L48:L63" si="8">SUM(C48:K48)</f>
        <v>3807.8989498535138</v>
      </c>
      <c r="M48" s="286">
        <f>Inputs_SupplyCurve!N9</f>
        <v>0</v>
      </c>
      <c r="N48" s="283">
        <f>Inputs_SupplyCurve!O9</f>
        <v>0</v>
      </c>
      <c r="O48" s="283"/>
      <c r="P48" s="18">
        <f>SUM(M48:O48)</f>
        <v>0</v>
      </c>
      <c r="Q48" s="289">
        <f>L48-S1_BaseRefNGNoHydro!L48+P48</f>
        <v>-5.7377429551706882E-2</v>
      </c>
      <c r="R48" s="83"/>
    </row>
    <row r="49" spans="2:18" x14ac:dyDescent="0.35">
      <c r="B49" s="10">
        <v>2016</v>
      </c>
      <c r="C49" s="287">
        <f>(C30+SUM(D30:E30))*RefTables!$H190</f>
        <v>985.00367601949461</v>
      </c>
      <c r="D49" s="284">
        <f>Inputs_SupplyCurve!M10</f>
        <v>158.43774250624335</v>
      </c>
      <c r="E49" s="284">
        <f>Inputs_SupplyCurve!P10</f>
        <v>577.06381397490384</v>
      </c>
      <c r="F49" s="284">
        <f>Inputs_SupplyCurve!Q10</f>
        <v>0</v>
      </c>
      <c r="G49" s="284">
        <f>SUMIFS(PriceSpikes!$M$7:$M$198,PriceSpikes!$B$7:$B$198,B49)</f>
        <v>-4.4596769119039391E-2</v>
      </c>
      <c r="H49" s="284">
        <f>BalancingMeasures!$M$15*S9*10^-6</f>
        <v>0</v>
      </c>
      <c r="I49" s="284">
        <f>Inputs_AnnualElectric!K17</f>
        <v>2312.0582574654422</v>
      </c>
      <c r="J49" s="284">
        <f>T9*BalancingMeasures!$I$10*10^-6</f>
        <v>0</v>
      </c>
      <c r="K49" s="284">
        <f>U9*BalancingMeasures!$J$9/1000</f>
        <v>0</v>
      </c>
      <c r="L49" s="284">
        <f t="shared" si="8"/>
        <v>4032.5188931969651</v>
      </c>
      <c r="M49" s="287">
        <f>Inputs_SupplyCurve!N10</f>
        <v>0</v>
      </c>
      <c r="N49" s="284">
        <f>Inputs_SupplyCurve!O10</f>
        <v>0</v>
      </c>
      <c r="O49" s="284"/>
      <c r="P49" s="19">
        <f t="shared" ref="P49:P63" si="9">SUM(M49:O49)</f>
        <v>0</v>
      </c>
      <c r="Q49" s="290">
        <f>L49-S1_BaseRefNGNoHydro!L49+P49</f>
        <v>25.655447896885562</v>
      </c>
      <c r="R49" s="83"/>
    </row>
    <row r="50" spans="2:18" x14ac:dyDescent="0.35">
      <c r="B50" s="10">
        <v>2017</v>
      </c>
      <c r="C50" s="287">
        <f>(C31+SUM(D31:E31))*RefTables!$H191</f>
        <v>1072.2589472003349</v>
      </c>
      <c r="D50" s="284">
        <f>Inputs_SupplyCurve!M11</f>
        <v>181.09848073679791</v>
      </c>
      <c r="E50" s="284">
        <f>Inputs_SupplyCurve!P11</f>
        <v>641.34409344592439</v>
      </c>
      <c r="F50" s="284">
        <f>Inputs_SupplyCurve!Q11</f>
        <v>0</v>
      </c>
      <c r="G50" s="284">
        <f>SUMIFS(PriceSpikes!$M$7:$M$198,PriceSpikes!$B$7:$B$198,B50)</f>
        <v>0</v>
      </c>
      <c r="H50" s="284">
        <f>BalancingMeasures!$M$15*S10*10^-6</f>
        <v>0</v>
      </c>
      <c r="I50" s="284">
        <f>Inputs_AnnualElectric!K18</f>
        <v>2338.1085746499052</v>
      </c>
      <c r="J50" s="284">
        <f>T10*BalancingMeasures!$I$10*10^-6</f>
        <v>0</v>
      </c>
      <c r="K50" s="284">
        <f>U10*BalancingMeasures!$J$9/1000</f>
        <v>0</v>
      </c>
      <c r="L50" s="284">
        <f t="shared" si="8"/>
        <v>4232.810096032963</v>
      </c>
      <c r="M50" s="287">
        <f>Inputs_SupplyCurve!N11</f>
        <v>0</v>
      </c>
      <c r="N50" s="284">
        <f>Inputs_SupplyCurve!O11</f>
        <v>0</v>
      </c>
      <c r="O50" s="284"/>
      <c r="P50" s="19">
        <f t="shared" si="9"/>
        <v>0</v>
      </c>
      <c r="Q50" s="290">
        <f>L50-S1_BaseRefNGNoHydro!L50+P50</f>
        <v>146.93501994224198</v>
      </c>
      <c r="R50" s="83"/>
    </row>
    <row r="51" spans="2:18" x14ac:dyDescent="0.35">
      <c r="B51" s="10">
        <v>2018</v>
      </c>
      <c r="C51" s="287">
        <f>(C32+SUM(D32:E32))*RefTables!$H192</f>
        <v>1120.0301734777779</v>
      </c>
      <c r="D51" s="284">
        <f>Inputs_SupplyCurve!M12</f>
        <v>198.9677444287926</v>
      </c>
      <c r="E51" s="284">
        <f>Inputs_SupplyCurve!P12</f>
        <v>694.85393021720154</v>
      </c>
      <c r="F51" s="284">
        <f>Inputs_SupplyCurve!Q12</f>
        <v>0</v>
      </c>
      <c r="G51" s="284">
        <f>SUMIFS(PriceSpikes!$M$7:$M$198,PriceSpikes!$B$7:$B$198,B51)</f>
        <v>0</v>
      </c>
      <c r="H51" s="284">
        <f>BalancingMeasures!$M$15*S11*10^-6</f>
        <v>0</v>
      </c>
      <c r="I51" s="284">
        <f>Inputs_AnnualElectric!K19</f>
        <v>2388.6604414057151</v>
      </c>
      <c r="J51" s="284">
        <f>T11*BalancingMeasures!$I$10*10^-6</f>
        <v>0</v>
      </c>
      <c r="K51" s="284">
        <f>U11*BalancingMeasures!$J$9/1000</f>
        <v>0</v>
      </c>
      <c r="L51" s="284">
        <f t="shared" si="8"/>
        <v>4402.5122895294871</v>
      </c>
      <c r="M51" s="287">
        <f>Inputs_SupplyCurve!N12</f>
        <v>0</v>
      </c>
      <c r="N51" s="284">
        <f>Inputs_SupplyCurve!O12</f>
        <v>0</v>
      </c>
      <c r="O51" s="284"/>
      <c r="P51" s="19">
        <f t="shared" si="9"/>
        <v>0</v>
      </c>
      <c r="Q51" s="290">
        <f>L51-S1_BaseRefNGNoHydro!L51+P51</f>
        <v>101.86557936306053</v>
      </c>
      <c r="R51" s="83"/>
    </row>
    <row r="52" spans="2:18" x14ac:dyDescent="0.35">
      <c r="B52" s="10">
        <v>2019</v>
      </c>
      <c r="C52" s="287">
        <f>(C33+SUM(D33:E33))*RefTables!$H193</f>
        <v>1133.1778526460239</v>
      </c>
      <c r="D52" s="284">
        <f>Inputs_SupplyCurve!M13</f>
        <v>214.92552307387393</v>
      </c>
      <c r="E52" s="284">
        <f>Inputs_SupplyCurve!P13</f>
        <v>737.26790181654087</v>
      </c>
      <c r="F52" s="284">
        <f>Inputs_SupplyCurve!Q13</f>
        <v>0</v>
      </c>
      <c r="G52" s="284">
        <f>SUMIFS(PriceSpikes!$M$7:$M$198,PriceSpikes!$B$7:$B$198,B52)</f>
        <v>0</v>
      </c>
      <c r="H52" s="284">
        <f>BalancingMeasures!$M$15*S12*10^-6</f>
        <v>0</v>
      </c>
      <c r="I52" s="284">
        <f>Inputs_AnnualElectric!K20</f>
        <v>2406.5038756442173</v>
      </c>
      <c r="J52" s="284">
        <f>T12*BalancingMeasures!$I$10*10^-6</f>
        <v>0</v>
      </c>
      <c r="K52" s="284">
        <f>U12*BalancingMeasures!$J$9/1000</f>
        <v>0</v>
      </c>
      <c r="L52" s="284">
        <f t="shared" si="8"/>
        <v>4491.8751531806556</v>
      </c>
      <c r="M52" s="287">
        <f>Inputs_SupplyCurve!N13</f>
        <v>0</v>
      </c>
      <c r="N52" s="284">
        <f>Inputs_SupplyCurve!O13</f>
        <v>0</v>
      </c>
      <c r="O52" s="284"/>
      <c r="P52" s="19">
        <f t="shared" si="9"/>
        <v>0</v>
      </c>
      <c r="Q52" s="290">
        <f>L52-S1_BaseRefNGNoHydro!L52+P52</f>
        <v>182.55471254302211</v>
      </c>
      <c r="R52" s="83"/>
    </row>
    <row r="53" spans="2:18" x14ac:dyDescent="0.35">
      <c r="B53" s="10">
        <v>2020</v>
      </c>
      <c r="C53" s="287">
        <f>(C34+SUM(D34:E34))*RefTables!$H194</f>
        <v>1159.1825506183191</v>
      </c>
      <c r="D53" s="284">
        <f>Inputs_SupplyCurve!M14</f>
        <v>231.85768764325491</v>
      </c>
      <c r="E53" s="284">
        <f>Inputs_SupplyCurve!P14</f>
        <v>775.41497120454073</v>
      </c>
      <c r="F53" s="284">
        <f>Inputs_SupplyCurve!Q14</f>
        <v>0</v>
      </c>
      <c r="G53" s="284">
        <f>SUMIFS(PriceSpikes!$M$7:$M$198,PriceSpikes!$B$7:$B$198,B53)</f>
        <v>-3478.9350037341087</v>
      </c>
      <c r="H53" s="284">
        <f>BalancingMeasures!$M$15*S13*10^-6</f>
        <v>39.752446811392026</v>
      </c>
      <c r="I53" s="284">
        <f>Inputs_AnnualElectric!K21</f>
        <v>2230.9716269950181</v>
      </c>
      <c r="J53" s="284">
        <f>T13*BalancingMeasures!$I$10*10^-6</f>
        <v>0</v>
      </c>
      <c r="K53" s="284">
        <f>U13*BalancingMeasures!$J$9/1000</f>
        <v>0</v>
      </c>
      <c r="L53" s="284">
        <f t="shared" si="8"/>
        <v>958.24427953841632</v>
      </c>
      <c r="M53" s="287">
        <f>Inputs_SupplyCurve!N14</f>
        <v>0</v>
      </c>
      <c r="N53" s="284">
        <f>Inputs_SupplyCurve!O14</f>
        <v>0</v>
      </c>
      <c r="O53" s="284"/>
      <c r="P53" s="19">
        <f t="shared" si="9"/>
        <v>0</v>
      </c>
      <c r="Q53" s="290">
        <f>L53-S1_BaseRefNGNoHydro!L53+P53</f>
        <v>288.57865250030363</v>
      </c>
      <c r="R53" s="83"/>
    </row>
    <row r="54" spans="2:18" x14ac:dyDescent="0.35">
      <c r="B54" s="10">
        <v>2021</v>
      </c>
      <c r="C54" s="287">
        <f>(C35+SUM(D35:E35))*RefTables!$H195</f>
        <v>1205.5309028655636</v>
      </c>
      <c r="D54" s="284">
        <f>Inputs_SupplyCurve!M15</f>
        <v>243.54789353844251</v>
      </c>
      <c r="E54" s="284">
        <f>Inputs_SupplyCurve!P15</f>
        <v>810.82718747828085</v>
      </c>
      <c r="F54" s="284">
        <f>Inputs_SupplyCurve!Q15</f>
        <v>0</v>
      </c>
      <c r="G54" s="284">
        <f>SUMIFS(PriceSpikes!$M$7:$M$198,PriceSpikes!$B$7:$B$198,B54)</f>
        <v>-3430.4046115732008</v>
      </c>
      <c r="H54" s="284">
        <f>BalancingMeasures!$M$15*S14*10^-6</f>
        <v>39.752446811392026</v>
      </c>
      <c r="I54" s="284">
        <f>Inputs_AnnualElectric!K22</f>
        <v>2249.3982642171127</v>
      </c>
      <c r="J54" s="284">
        <f>T14*BalancingMeasures!$I$10*10^-6</f>
        <v>0</v>
      </c>
      <c r="K54" s="284">
        <f>U14*BalancingMeasures!$J$9/1000</f>
        <v>0</v>
      </c>
      <c r="L54" s="284">
        <f t="shared" si="8"/>
        <v>1118.6520833375907</v>
      </c>
      <c r="M54" s="287">
        <f>Inputs_SupplyCurve!N15</f>
        <v>0</v>
      </c>
      <c r="N54" s="284">
        <f>Inputs_SupplyCurve!O15</f>
        <v>0</v>
      </c>
      <c r="O54" s="284"/>
      <c r="P54" s="19">
        <f t="shared" si="9"/>
        <v>0</v>
      </c>
      <c r="Q54" s="290">
        <f>L54-S1_BaseRefNGNoHydro!L54+P54</f>
        <v>259.09560472341718</v>
      </c>
      <c r="R54" s="83"/>
    </row>
    <row r="55" spans="2:18" x14ac:dyDescent="0.35">
      <c r="B55" s="10">
        <v>2022</v>
      </c>
      <c r="C55" s="287">
        <f>(C36+SUM(D36:E36))*RefTables!$H196</f>
        <v>1267.7885567163653</v>
      </c>
      <c r="D55" s="284">
        <f>Inputs_SupplyCurve!M16</f>
        <v>253.2699316532761</v>
      </c>
      <c r="E55" s="284">
        <f>Inputs_SupplyCurve!P16</f>
        <v>843.92849446737682</v>
      </c>
      <c r="F55" s="284">
        <f>Inputs_SupplyCurve!Q16</f>
        <v>0</v>
      </c>
      <c r="G55" s="284">
        <f>SUMIFS(PriceSpikes!$M$7:$M$198,PriceSpikes!$B$7:$B$198,B55)</f>
        <v>-3320.5341820563822</v>
      </c>
      <c r="H55" s="284">
        <f>BalancingMeasures!$M$15*S15*10^-6</f>
        <v>39.752446811392026</v>
      </c>
      <c r="I55" s="284">
        <f>Inputs_AnnualElectric!K23</f>
        <v>2354.2988488858027</v>
      </c>
      <c r="J55" s="284">
        <f>T15*BalancingMeasures!$I$10*10^-6</f>
        <v>0</v>
      </c>
      <c r="K55" s="284">
        <f>U15*BalancingMeasures!$J$9/1000</f>
        <v>0</v>
      </c>
      <c r="L55" s="284">
        <f t="shared" si="8"/>
        <v>1438.5040964778309</v>
      </c>
      <c r="M55" s="287">
        <f>Inputs_SupplyCurve!N16</f>
        <v>0</v>
      </c>
      <c r="N55" s="284">
        <f>Inputs_SupplyCurve!O16</f>
        <v>0</v>
      </c>
      <c r="O55" s="284"/>
      <c r="P55" s="19">
        <f t="shared" si="9"/>
        <v>0</v>
      </c>
      <c r="Q55" s="290">
        <f>L55-S1_BaseRefNGNoHydro!L55+P55</f>
        <v>320.56885884587382</v>
      </c>
      <c r="R55" s="83"/>
    </row>
    <row r="56" spans="2:18" x14ac:dyDescent="0.35">
      <c r="B56" s="10">
        <v>2023</v>
      </c>
      <c r="C56" s="287">
        <f>(C37+SUM(D37:E37))*RefTables!$H197</f>
        <v>1330.2660344945698</v>
      </c>
      <c r="D56" s="284">
        <f>Inputs_SupplyCurve!M17</f>
        <v>256.83105657853571</v>
      </c>
      <c r="E56" s="284">
        <f>Inputs_SupplyCurve!P17</f>
        <v>874.35589254029105</v>
      </c>
      <c r="F56" s="284">
        <f>Inputs_SupplyCurve!Q17</f>
        <v>0</v>
      </c>
      <c r="G56" s="284">
        <f>SUMIFS(PriceSpikes!$M$7:$M$198,PriceSpikes!$B$7:$B$198,B56)</f>
        <v>-3326.6961369673631</v>
      </c>
      <c r="H56" s="284">
        <f>BalancingMeasures!$M$15*S16*10^-6</f>
        <v>39.752446811392026</v>
      </c>
      <c r="I56" s="284">
        <f>Inputs_AnnualElectric!K24</f>
        <v>2465.5767461559999</v>
      </c>
      <c r="J56" s="284">
        <f>T16*BalancingMeasures!$I$10*10^-6</f>
        <v>0</v>
      </c>
      <c r="K56" s="284">
        <f>U16*BalancingMeasures!$J$9/1000</f>
        <v>0</v>
      </c>
      <c r="L56" s="284">
        <f t="shared" si="8"/>
        <v>1640.0860396134253</v>
      </c>
      <c r="M56" s="287">
        <f>Inputs_SupplyCurve!N17</f>
        <v>0</v>
      </c>
      <c r="N56" s="284">
        <f>Inputs_SupplyCurve!O17</f>
        <v>0</v>
      </c>
      <c r="O56" s="284"/>
      <c r="P56" s="19">
        <f t="shared" si="9"/>
        <v>0</v>
      </c>
      <c r="Q56" s="290">
        <f>L56-S1_BaseRefNGNoHydro!L56+P56</f>
        <v>383.21641571232931</v>
      </c>
      <c r="R56" s="83"/>
    </row>
    <row r="57" spans="2:18" x14ac:dyDescent="0.35">
      <c r="B57" s="10">
        <v>2024</v>
      </c>
      <c r="C57" s="287">
        <f>(C38+SUM(D38:E38))*RefTables!$H198</f>
        <v>1396.5011428352313</v>
      </c>
      <c r="D57" s="284">
        <f>Inputs_SupplyCurve!M18</f>
        <v>263.02625287481254</v>
      </c>
      <c r="E57" s="284">
        <f>Inputs_SupplyCurve!P18</f>
        <v>900.95296614242363</v>
      </c>
      <c r="F57" s="284">
        <f>Inputs_SupplyCurve!Q18</f>
        <v>0</v>
      </c>
      <c r="G57" s="284">
        <f>SUMIFS(PriceSpikes!$M$7:$M$198,PriceSpikes!$B$7:$B$198,B57)</f>
        <v>-3481.124810558309</v>
      </c>
      <c r="H57" s="284">
        <f>BalancingMeasures!$M$15*S17*10^-6</f>
        <v>39.752446811392026</v>
      </c>
      <c r="I57" s="284">
        <f>Inputs_AnnualElectric!K25</f>
        <v>2528.3097058953758</v>
      </c>
      <c r="J57" s="284">
        <f>T17*BalancingMeasures!$I$10*10^-6</f>
        <v>0</v>
      </c>
      <c r="K57" s="284">
        <f>U17*BalancingMeasures!$J$9/1000</f>
        <v>0</v>
      </c>
      <c r="L57" s="284">
        <f t="shared" si="8"/>
        <v>1647.4177040009263</v>
      </c>
      <c r="M57" s="287">
        <f>Inputs_SupplyCurve!N18</f>
        <v>0</v>
      </c>
      <c r="N57" s="284">
        <f>Inputs_SupplyCurve!O18</f>
        <v>0</v>
      </c>
      <c r="O57" s="284"/>
      <c r="P57" s="19">
        <f t="shared" si="9"/>
        <v>0</v>
      </c>
      <c r="Q57" s="290">
        <f>L57-S1_BaseRefNGNoHydro!L57+P57</f>
        <v>428.07585733325868</v>
      </c>
      <c r="R57" s="83"/>
    </row>
    <row r="58" spans="2:18" x14ac:dyDescent="0.35">
      <c r="B58" s="10">
        <v>2025</v>
      </c>
      <c r="C58" s="287">
        <f>(C39+SUM(D39:E39))*RefTables!$H199</f>
        <v>1478.2105508584634</v>
      </c>
      <c r="D58" s="284">
        <f>Inputs_SupplyCurve!M19</f>
        <v>268.62222782421975</v>
      </c>
      <c r="E58" s="284">
        <f>Inputs_SupplyCurve!P19</f>
        <v>923.22485013311757</v>
      </c>
      <c r="F58" s="284">
        <f>Inputs_SupplyCurve!Q19</f>
        <v>97.003539999999987</v>
      </c>
      <c r="G58" s="284">
        <f>SUMIFS(PriceSpikes!$M$7:$M$198,PriceSpikes!$B$7:$B$198,B58)</f>
        <v>-3440.0273792678954</v>
      </c>
      <c r="H58" s="284">
        <f>BalancingMeasures!$M$15*S18*10^-6</f>
        <v>39.752446811392026</v>
      </c>
      <c r="I58" s="284">
        <f>Inputs_AnnualElectric!K26</f>
        <v>2652.6574978037397</v>
      </c>
      <c r="J58" s="284">
        <f>T18*BalancingMeasures!$I$10*10^-6</f>
        <v>0</v>
      </c>
      <c r="K58" s="284">
        <f>U18*BalancingMeasures!$J$9/1000</f>
        <v>0</v>
      </c>
      <c r="L58" s="284">
        <f t="shared" si="8"/>
        <v>2019.4437341630373</v>
      </c>
      <c r="M58" s="287">
        <f>Inputs_SupplyCurve!N19</f>
        <v>0</v>
      </c>
      <c r="N58" s="284">
        <f>Inputs_SupplyCurve!O19</f>
        <v>0</v>
      </c>
      <c r="O58" s="284"/>
      <c r="P58" s="19">
        <f t="shared" si="9"/>
        <v>0</v>
      </c>
      <c r="Q58" s="290">
        <f>L58-S1_BaseRefNGNoHydro!L58+P58</f>
        <v>548.16757924957119</v>
      </c>
      <c r="R58" s="83"/>
    </row>
    <row r="59" spans="2:18" x14ac:dyDescent="0.35">
      <c r="B59" s="10">
        <v>2026</v>
      </c>
      <c r="C59" s="287">
        <f>(C40+SUM(D40:E40))*RefTables!$H200</f>
        <v>1545.6904469945337</v>
      </c>
      <c r="D59" s="284">
        <f>Inputs_SupplyCurve!M20</f>
        <v>273.62999673558346</v>
      </c>
      <c r="E59" s="284">
        <f>Inputs_SupplyCurve!P20</f>
        <v>942.80020728443492</v>
      </c>
      <c r="F59" s="284">
        <f>Inputs_SupplyCurve!Q20</f>
        <v>0</v>
      </c>
      <c r="G59" s="284">
        <f>SUMIFS(PriceSpikes!$M$7:$M$198,PriceSpikes!$B$7:$B$198,B59)</f>
        <v>-3459.7462355513067</v>
      </c>
      <c r="H59" s="284">
        <f>BalancingMeasures!$M$15*S19*10^-6</f>
        <v>39.752446811392026</v>
      </c>
      <c r="I59" s="284">
        <f>Inputs_AnnualElectric!K27</f>
        <v>2766.2755152187847</v>
      </c>
      <c r="J59" s="284">
        <f>T19*BalancingMeasures!$I$10*10^-6</f>
        <v>0</v>
      </c>
      <c r="K59" s="284">
        <f>U19*BalancingMeasures!$J$9/1000</f>
        <v>0</v>
      </c>
      <c r="L59" s="284">
        <f t="shared" si="8"/>
        <v>2108.4023774934221</v>
      </c>
      <c r="M59" s="287">
        <f>Inputs_SupplyCurve!N20</f>
        <v>0</v>
      </c>
      <c r="N59" s="284">
        <f>Inputs_SupplyCurve!O20</f>
        <v>0</v>
      </c>
      <c r="O59" s="284"/>
      <c r="P59" s="19">
        <f t="shared" si="9"/>
        <v>0</v>
      </c>
      <c r="Q59" s="290">
        <f>L59-S1_BaseRefNGNoHydro!L59+P59</f>
        <v>623.66426930826492</v>
      </c>
      <c r="R59" s="83"/>
    </row>
    <row r="60" spans="2:18" x14ac:dyDescent="0.35">
      <c r="B60" s="10">
        <v>2027</v>
      </c>
      <c r="C60" s="287">
        <f>(C41+SUM(D41:E41))*RefTables!$H201</f>
        <v>1605.0273676914499</v>
      </c>
      <c r="D60" s="284">
        <f>Inputs_SupplyCurve!M21</f>
        <v>277.25964359835592</v>
      </c>
      <c r="E60" s="284">
        <f>Inputs_SupplyCurve!P21</f>
        <v>961.46180313298669</v>
      </c>
      <c r="F60" s="284">
        <f>Inputs_SupplyCurve!Q21</f>
        <v>0</v>
      </c>
      <c r="G60" s="284">
        <f>SUMIFS(PriceSpikes!$M$7:$M$198,PriceSpikes!$B$7:$B$198,B60)</f>
        <v>-3477.4368437049698</v>
      </c>
      <c r="H60" s="284">
        <f>BalancingMeasures!$M$15*S20*10^-6</f>
        <v>39.752446811392026</v>
      </c>
      <c r="I60" s="284">
        <f>Inputs_AnnualElectric!K28</f>
        <v>2846.762738253492</v>
      </c>
      <c r="J60" s="284">
        <f>T20*BalancingMeasures!$I$10*10^-6</f>
        <v>0</v>
      </c>
      <c r="K60" s="284">
        <f>U20*BalancingMeasures!$J$9/1000</f>
        <v>0</v>
      </c>
      <c r="L60" s="284">
        <f t="shared" si="8"/>
        <v>2252.827155782707</v>
      </c>
      <c r="M60" s="287">
        <f>Inputs_SupplyCurve!N21</f>
        <v>0</v>
      </c>
      <c r="N60" s="284">
        <f>Inputs_SupplyCurve!O21</f>
        <v>0</v>
      </c>
      <c r="O60" s="284"/>
      <c r="P60" s="19">
        <f t="shared" si="9"/>
        <v>0</v>
      </c>
      <c r="Q60" s="290">
        <f>L60-S1_BaseRefNGNoHydro!L60+P60</f>
        <v>674.67778706846229</v>
      </c>
      <c r="R60" s="83"/>
    </row>
    <row r="61" spans="2:18" x14ac:dyDescent="0.35">
      <c r="B61" s="10">
        <v>2028</v>
      </c>
      <c r="C61" s="287">
        <f>(C42+SUM(D42:E42))*RefTables!$H202</f>
        <v>1665.0810134219259</v>
      </c>
      <c r="D61" s="284">
        <f>Inputs_SupplyCurve!M22</f>
        <v>280.58520053344989</v>
      </c>
      <c r="E61" s="284">
        <f>Inputs_SupplyCurve!P22</f>
        <v>973.06947549900337</v>
      </c>
      <c r="F61" s="284">
        <f>Inputs_SupplyCurve!Q22</f>
        <v>0</v>
      </c>
      <c r="G61" s="284">
        <f>SUMIFS(PriceSpikes!$M$7:$M$198,PriceSpikes!$B$7:$B$198,B61)</f>
        <v>-3578.5774524857034</v>
      </c>
      <c r="H61" s="284">
        <f>BalancingMeasures!$M$15*S21*10^-6</f>
        <v>39.752446811392026</v>
      </c>
      <c r="I61" s="284">
        <f>Inputs_AnnualElectric!K29</f>
        <v>2988.1196746572305</v>
      </c>
      <c r="J61" s="284">
        <f>T21*BalancingMeasures!$I$10*10^-6</f>
        <v>0</v>
      </c>
      <c r="K61" s="284">
        <f>U21*BalancingMeasures!$J$9/1000</f>
        <v>0</v>
      </c>
      <c r="L61" s="284">
        <f t="shared" si="8"/>
        <v>2368.0303584372982</v>
      </c>
      <c r="M61" s="287">
        <f>Inputs_SupplyCurve!N22</f>
        <v>0</v>
      </c>
      <c r="N61" s="284">
        <f>Inputs_SupplyCurve!O22</f>
        <v>0</v>
      </c>
      <c r="O61" s="284"/>
      <c r="P61" s="19">
        <f t="shared" si="9"/>
        <v>0</v>
      </c>
      <c r="Q61" s="290">
        <f>L61-S1_BaseRefNGNoHydro!L61+P61</f>
        <v>737.61886113540777</v>
      </c>
      <c r="R61" s="83"/>
    </row>
    <row r="62" spans="2:18" x14ac:dyDescent="0.35">
      <c r="B62" s="10">
        <v>2029</v>
      </c>
      <c r="C62" s="287">
        <f>(C43+SUM(D43:E43))*RefTables!$H203</f>
        <v>1697.0434418489906</v>
      </c>
      <c r="D62" s="284">
        <f>Inputs_SupplyCurve!M23</f>
        <v>282.67154503592951</v>
      </c>
      <c r="E62" s="284">
        <f>Inputs_SupplyCurve!P23</f>
        <v>984.44937356577873</v>
      </c>
      <c r="F62" s="284">
        <f>Inputs_SupplyCurve!Q23</f>
        <v>0</v>
      </c>
      <c r="G62" s="284">
        <f>SUMIFS(PriceSpikes!$M$7:$M$198,PriceSpikes!$B$7:$B$198,B62)</f>
        <v>-3597.4172412566404</v>
      </c>
      <c r="H62" s="284">
        <f>BalancingMeasures!$M$15*S22*10^-6</f>
        <v>44.721502662816029</v>
      </c>
      <c r="I62" s="284">
        <f>Inputs_AnnualElectric!K30</f>
        <v>3118.4483235672815</v>
      </c>
      <c r="J62" s="284">
        <f>T22*BalancingMeasures!$I$10*10^-6</f>
        <v>0</v>
      </c>
      <c r="K62" s="284">
        <f>U22*BalancingMeasures!$J$9/1000</f>
        <v>0</v>
      </c>
      <c r="L62" s="284">
        <f t="shared" si="8"/>
        <v>2529.916945424156</v>
      </c>
      <c r="M62" s="287">
        <f>Inputs_SupplyCurve!N23</f>
        <v>0</v>
      </c>
      <c r="N62" s="284">
        <f>Inputs_SupplyCurve!O23</f>
        <v>0</v>
      </c>
      <c r="O62" s="284"/>
      <c r="P62" s="19">
        <f t="shared" si="9"/>
        <v>0</v>
      </c>
      <c r="Q62" s="290">
        <f>L62-S1_BaseRefNGNoHydro!L62+P62</f>
        <v>750.04536674921337</v>
      </c>
      <c r="R62" s="83"/>
    </row>
    <row r="63" spans="2:18" ht="18" thickBot="1" x14ac:dyDescent="0.4">
      <c r="B63" s="11">
        <v>2030</v>
      </c>
      <c r="C63" s="288">
        <f>(C44+SUM(D44:E44))*RefTables!$H204</f>
        <v>1749.8348864483792</v>
      </c>
      <c r="D63" s="285">
        <f>Inputs_SupplyCurve!M24</f>
        <v>284.14981944616545</v>
      </c>
      <c r="E63" s="285">
        <f>Inputs_SupplyCurve!P24</f>
        <v>996.63079163297505</v>
      </c>
      <c r="F63" s="285">
        <f>Inputs_SupplyCurve!Q24</f>
        <v>0</v>
      </c>
      <c r="G63" s="285">
        <f>SUMIFS(PriceSpikes!$M$7:$M$198,PriceSpikes!$B$7:$B$198,B63)</f>
        <v>-3574.7088289578865</v>
      </c>
      <c r="H63" s="285">
        <f>BalancingMeasures!$M$15*S23*10^-6</f>
        <v>44.721502662816029</v>
      </c>
      <c r="I63" s="285">
        <f>Inputs_AnnualElectric!K31</f>
        <v>3179.5488272791208</v>
      </c>
      <c r="J63" s="285">
        <f>T23*BalancingMeasures!$I$10*10^-6</f>
        <v>0</v>
      </c>
      <c r="K63" s="285">
        <f>U23*BalancingMeasures!$J$9/1000</f>
        <v>0</v>
      </c>
      <c r="L63" s="285">
        <f t="shared" si="8"/>
        <v>2680.1769985115702</v>
      </c>
      <c r="M63" s="288">
        <f>Inputs_SupplyCurve!N24</f>
        <v>0</v>
      </c>
      <c r="N63" s="285">
        <f>Inputs_SupplyCurve!O24</f>
        <v>0</v>
      </c>
      <c r="O63" s="285"/>
      <c r="P63" s="20">
        <f t="shared" si="9"/>
        <v>0</v>
      </c>
      <c r="Q63" s="291">
        <f>L63-S1_BaseRefNGNoHydro!L63+P63</f>
        <v>724.21153179224484</v>
      </c>
      <c r="R63" s="83"/>
    </row>
    <row r="64" spans="2:18" x14ac:dyDescent="0.35">
      <c r="B64" s="76"/>
      <c r="D64" s="184"/>
    </row>
  </sheetData>
  <mergeCells count="22">
    <mergeCell ref="B46:B47"/>
    <mergeCell ref="C46:L46"/>
    <mergeCell ref="M46:P46"/>
    <mergeCell ref="Q46:Q47"/>
    <mergeCell ref="B27:B28"/>
    <mergeCell ref="C27:E27"/>
    <mergeCell ref="J27:J28"/>
    <mergeCell ref="K27:M27"/>
    <mergeCell ref="Q27:R27"/>
    <mergeCell ref="B4:R4"/>
    <mergeCell ref="H27:H28"/>
    <mergeCell ref="P27:P28"/>
    <mergeCell ref="F27:G27"/>
    <mergeCell ref="N27:O27"/>
    <mergeCell ref="B25:R25"/>
    <mergeCell ref="C6:E6"/>
    <mergeCell ref="F6:G6"/>
    <mergeCell ref="Q6:R6"/>
    <mergeCell ref="H6:I6"/>
    <mergeCell ref="J6:K6"/>
    <mergeCell ref="L6:P6"/>
    <mergeCell ref="B6:B7"/>
  </mergeCells>
  <conditionalFormatting sqref="Q8:Q23">
    <cfRule type="expression" dxfId="24" priority="2">
      <formula>R8&lt;=95%</formula>
    </cfRule>
  </conditionalFormatting>
  <conditionalFormatting sqref="H8:H23">
    <cfRule type="expression" dxfId="23" priority="4">
      <formula>I8&lt;=95%</formula>
    </cfRule>
  </conditionalFormatting>
  <conditionalFormatting sqref="R34 R44 P34">
    <cfRule type="expression" dxfId="22" priority="1">
      <formula>$P$34&lt;=#REF!</formula>
    </cfRule>
  </conditionalFormatting>
  <conditionalFormatting sqref="P44">
    <cfRule type="expression" dxfId="21" priority="86">
      <formula>$P$44&lt;=#REF!</formula>
    </cfRule>
  </conditionalFormatting>
  <pageMargins left="0.7" right="0.7" top="0.75" bottom="0.75" header="0.3" footer="0.3"/>
  <pageSetup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B2:Z64"/>
  <sheetViews>
    <sheetView showGridLines="0" view="pageBreakPreview" zoomScale="85" zoomScaleNormal="70" zoomScaleSheetLayoutView="85" workbookViewId="0">
      <pane ySplit="4" topLeftCell="A23" activePane="bottomLeft" state="frozen"/>
      <selection activeCell="X23" sqref="X23"/>
      <selection pane="bottomLeft" activeCell="X23" sqref="X23"/>
    </sheetView>
  </sheetViews>
  <sheetFormatPr defaultRowHeight="17.25" x14ac:dyDescent="0.35"/>
  <cols>
    <col min="1" max="1" width="2.375" customWidth="1"/>
    <col min="2" max="18" width="13.375" customWidth="1"/>
    <col min="19" max="19" width="11.25" customWidth="1"/>
    <col min="20" max="23" width="10.125" customWidth="1"/>
    <col min="26" max="26" width="10.625" bestFit="1" customWidth="1"/>
    <col min="27" max="27" width="10.25" customWidth="1"/>
    <col min="28" max="28" width="10.625" customWidth="1"/>
  </cols>
  <sheetData>
    <row r="2" spans="2:26" ht="30.75" x14ac:dyDescent="0.6">
      <c r="B2" s="1" t="s">
        <v>431</v>
      </c>
      <c r="R2" s="362" t="str">
        <f>IF(SUM($P$8:$P$23)&lt;&gt;0,"This scenario requires a pipeline.","This scenario does not require a pipeline.")</f>
        <v>This scenario requires a pipeline.</v>
      </c>
      <c r="X2" s="195"/>
      <c r="Y2" s="193">
        <v>5.6000000000000001E-2</v>
      </c>
      <c r="Z2" s="194" t="e">
        <f>Y2/X2</f>
        <v>#DIV/0!</v>
      </c>
    </row>
    <row r="4" spans="2:26" ht="21.75" x14ac:dyDescent="0.45">
      <c r="B4" s="432" t="s">
        <v>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</row>
    <row r="5" spans="2:26" ht="18" thickBot="1" x14ac:dyDescent="0.4">
      <c r="B5" s="2"/>
      <c r="C5" s="75"/>
      <c r="D5" s="184"/>
      <c r="E5" s="184"/>
      <c r="F5" s="184"/>
      <c r="G5" s="184"/>
      <c r="H5" s="184"/>
      <c r="I5" s="184"/>
      <c r="J5" s="184"/>
      <c r="K5" s="184"/>
      <c r="L5" s="184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6" ht="19.5" customHeight="1" x14ac:dyDescent="0.4">
      <c r="B6" s="458" t="s">
        <v>548</v>
      </c>
      <c r="C6" s="446" t="s">
        <v>435</v>
      </c>
      <c r="D6" s="447"/>
      <c r="E6" s="447"/>
      <c r="F6" s="446" t="s">
        <v>550</v>
      </c>
      <c r="G6" s="451"/>
      <c r="H6" s="446" t="s">
        <v>436</v>
      </c>
      <c r="I6" s="447"/>
      <c r="J6" s="446" t="s">
        <v>551</v>
      </c>
      <c r="K6" s="451"/>
      <c r="L6" s="446" t="s">
        <v>557</v>
      </c>
      <c r="M6" s="447"/>
      <c r="N6" s="447"/>
      <c r="O6" s="447"/>
      <c r="P6" s="451"/>
      <c r="Q6" s="462" t="s">
        <v>553</v>
      </c>
      <c r="R6" s="463"/>
    </row>
    <row r="7" spans="2:26" ht="52.5" thickBot="1" x14ac:dyDescent="0.4">
      <c r="B7" s="459"/>
      <c r="C7" s="15" t="s">
        <v>456</v>
      </c>
      <c r="D7" s="16" t="s">
        <v>425</v>
      </c>
      <c r="E7" s="16" t="s">
        <v>20</v>
      </c>
      <c r="F7" s="15" t="s">
        <v>2</v>
      </c>
      <c r="G7" s="16" t="s">
        <v>538</v>
      </c>
      <c r="H7" s="15" t="s">
        <v>457</v>
      </c>
      <c r="I7" s="16" t="s">
        <v>409</v>
      </c>
      <c r="J7" s="15" t="s">
        <v>552</v>
      </c>
      <c r="K7" s="16" t="s">
        <v>267</v>
      </c>
      <c r="L7" s="15" t="s">
        <v>539</v>
      </c>
      <c r="M7" s="16" t="s">
        <v>453</v>
      </c>
      <c r="N7" s="16" t="s">
        <v>107</v>
      </c>
      <c r="O7" s="16" t="s">
        <v>106</v>
      </c>
      <c r="P7" s="17" t="s">
        <v>328</v>
      </c>
      <c r="Q7" s="15" t="s">
        <v>457</v>
      </c>
      <c r="R7" s="240" t="s">
        <v>409</v>
      </c>
      <c r="S7" s="275" t="s">
        <v>465</v>
      </c>
      <c r="T7" s="275" t="s">
        <v>455</v>
      </c>
      <c r="U7" s="275" t="s">
        <v>437</v>
      </c>
      <c r="V7" s="275"/>
      <c r="W7" s="161"/>
      <c r="X7" s="162"/>
      <c r="Z7" s="196"/>
    </row>
    <row r="8" spans="2:26" x14ac:dyDescent="0.35">
      <c r="B8" s="9">
        <v>2015</v>
      </c>
      <c r="C8" s="5">
        <f>RefTables!D23+RefTables!$F$49*RefTables!$F$57/1000</f>
        <v>157.12752906068812</v>
      </c>
      <c r="D8" s="110">
        <f>-Inputs_SupplyCurve!AL9/1000</f>
        <v>-8.0169925080334483</v>
      </c>
      <c r="E8" s="110">
        <f>-(Inputs_SupplyCurve!AM9+Inputs_SupplyCurve!AN9)/1000-RefTables!D284</f>
        <v>-7.1691640119538391</v>
      </c>
      <c r="F8" s="5">
        <f>RefTables!F79/1000</f>
        <v>85.720249999999993</v>
      </c>
      <c r="G8" s="3">
        <f>RefTables!$F$127/1000</f>
        <v>36.795041666666663</v>
      </c>
      <c r="H8" s="237">
        <f t="shared" ref="H8:H23" si="0">SUM(F8:G8)-SUM(C8:E8)</f>
        <v>-19.426080874034199</v>
      </c>
      <c r="I8" s="262">
        <f t="shared" ref="I8:I23" si="1">SUM(C8:E8)/SUM(F8:G8)</f>
        <v>1.158560458941629</v>
      </c>
      <c r="J8" s="342">
        <f>MAX(-H8,0)</f>
        <v>19.426080874034199</v>
      </c>
      <c r="K8" s="345">
        <f>Inputs_JanElectric!F16</f>
        <v>14.10284</v>
      </c>
      <c r="L8" s="5">
        <f>RefTables!$F$126/1000</f>
        <v>18.940624999999997</v>
      </c>
      <c r="M8" s="3">
        <f>RefTables!$F$125/1000</f>
        <v>12.191666666666666</v>
      </c>
      <c r="N8" s="325">
        <f>BalancingMeasures!$N$10*T8</f>
        <v>0.1444</v>
      </c>
      <c r="O8" s="4">
        <f>BalancingMeasures!$N$9*U8</f>
        <v>4.0170000000000003</v>
      </c>
      <c r="P8" s="6"/>
      <c r="Q8" s="241">
        <f t="shared" ref="Q8:Q23" si="2">SUM(L8:P8)-SUM(J8:K8)</f>
        <v>1.7647707926324685</v>
      </c>
      <c r="R8" s="242">
        <f t="shared" ref="R8:R23" si="3">SUM(J8:K8)/SUM(L8:P8)</f>
        <v>0.94999755737371006</v>
      </c>
      <c r="S8" s="107"/>
      <c r="T8" s="107">
        <v>190</v>
      </c>
      <c r="U8" s="107">
        <v>4017</v>
      </c>
      <c r="V8" s="107"/>
      <c r="W8" s="158"/>
      <c r="X8" s="159"/>
      <c r="Y8" s="158"/>
      <c r="Z8" s="197"/>
    </row>
    <row r="9" spans="2:26" x14ac:dyDescent="0.35">
      <c r="B9" s="10">
        <v>2016</v>
      </c>
      <c r="C9" s="7">
        <f>RefTables!D24+RefTables!$F$49*RefTables!$F$57/1000</f>
        <v>159.85216975606758</v>
      </c>
      <c r="D9" s="111">
        <f>-Inputs_SupplyCurve!AL10/1000</f>
        <v>-9.290948102024835</v>
      </c>
      <c r="E9" s="111">
        <f>-(Inputs_SupplyCurve!AM10+Inputs_SupplyCurve!AN10)/1000-RefTables!D285</f>
        <v>-8.1933302993758161</v>
      </c>
      <c r="F9" s="7">
        <f>RefTables!$F$80/1000</f>
        <v>99.970249999999993</v>
      </c>
      <c r="G9" s="4">
        <f>RefTables!$F$127/1000</f>
        <v>36.795041666666663</v>
      </c>
      <c r="H9" s="238">
        <f t="shared" si="0"/>
        <v>-5.6025996880002822</v>
      </c>
      <c r="I9" s="263">
        <f t="shared" si="1"/>
        <v>1.040965069570833</v>
      </c>
      <c r="J9" s="343">
        <f t="shared" ref="J9:J23" si="4">MAX(-H9,0)</f>
        <v>5.6025996880002822</v>
      </c>
      <c r="K9" s="346">
        <f>Inputs_JanElectric!F17</f>
        <v>14.10284</v>
      </c>
      <c r="L9" s="7">
        <f>RefTables!$F$126/1000</f>
        <v>18.940624999999997</v>
      </c>
      <c r="M9" s="4">
        <f>RefTables!$F$125/1000</f>
        <v>12.191666666666666</v>
      </c>
      <c r="N9" s="325"/>
      <c r="O9" s="4"/>
      <c r="P9" s="8"/>
      <c r="Q9" s="238">
        <f t="shared" si="2"/>
        <v>11.426851978666381</v>
      </c>
      <c r="R9" s="243">
        <f t="shared" si="3"/>
        <v>0.63295821261686602</v>
      </c>
      <c r="S9" s="107"/>
      <c r="T9" s="107"/>
      <c r="U9" s="107"/>
      <c r="V9" s="107"/>
      <c r="W9" s="158"/>
      <c r="X9" s="159"/>
      <c r="Y9" s="158"/>
      <c r="Z9" s="197"/>
    </row>
    <row r="10" spans="2:26" x14ac:dyDescent="0.35">
      <c r="B10" s="10">
        <v>2017</v>
      </c>
      <c r="C10" s="7">
        <f>RefTables!D25+RefTables!$F$49*RefTables!$F$57/1000</f>
        <v>162.43792427380353</v>
      </c>
      <c r="D10" s="111">
        <f>-Inputs_SupplyCurve!AL11/1000</f>
        <v>-10.647280190906416</v>
      </c>
      <c r="E10" s="111">
        <f>-(Inputs_SupplyCurve!AM11+Inputs_SupplyCurve!AN11)/1000-RefTables!D286</f>
        <v>-9.2174965867977932</v>
      </c>
      <c r="F10" s="7">
        <f>RefTables!$F$80/1000</f>
        <v>99.970249999999993</v>
      </c>
      <c r="G10" s="4">
        <f>RefTables!$F$127/1000</f>
        <v>36.795041666666663</v>
      </c>
      <c r="H10" s="238">
        <f t="shared" si="0"/>
        <v>-5.8078558294326399</v>
      </c>
      <c r="I10" s="263">
        <f t="shared" si="1"/>
        <v>1.042465860735982</v>
      </c>
      <c r="J10" s="343">
        <f t="shared" si="4"/>
        <v>5.8078558294326399</v>
      </c>
      <c r="K10" s="346">
        <f>Inputs_JanElectric!F18</f>
        <v>12.459070000000001</v>
      </c>
      <c r="L10" s="7">
        <f>RefTables!$F$126/1000</f>
        <v>18.940624999999997</v>
      </c>
      <c r="M10" s="4">
        <f>RefTables!$F$125/1000</f>
        <v>12.191666666666666</v>
      </c>
      <c r="N10" s="325"/>
      <c r="O10" s="4"/>
      <c r="P10" s="8"/>
      <c r="Q10" s="238">
        <f t="shared" si="2"/>
        <v>12.865365837234023</v>
      </c>
      <c r="R10" s="277">
        <f t="shared" si="3"/>
        <v>0.58675172470489967</v>
      </c>
      <c r="S10" s="107"/>
      <c r="T10" s="107"/>
      <c r="U10" s="107"/>
      <c r="V10" s="107"/>
      <c r="W10" s="158"/>
      <c r="X10" s="159"/>
      <c r="Y10" s="158"/>
      <c r="Z10" s="197"/>
    </row>
    <row r="11" spans="2:26" x14ac:dyDescent="0.35">
      <c r="B11" s="10">
        <v>2018</v>
      </c>
      <c r="C11" s="7">
        <f>RefTables!D26+RefTables!$F$49*RefTables!$F$57/1000</f>
        <v>165.218866784326</v>
      </c>
      <c r="D11" s="111">
        <f>-Inputs_SupplyCurve!AL12/1000</f>
        <v>-11.786379196509024</v>
      </c>
      <c r="E11" s="111">
        <f>-(Inputs_SupplyCurve!AM12+Inputs_SupplyCurve!AN12)/1000-RefTables!D287</f>
        <v>-10.24166287421977</v>
      </c>
      <c r="F11" s="7">
        <f>RefTables!$F$80/1000</f>
        <v>99.970249999999993</v>
      </c>
      <c r="G11" s="4">
        <f>RefTables!$F$127/1000</f>
        <v>36.795041666666663</v>
      </c>
      <c r="H11" s="238">
        <f t="shared" si="0"/>
        <v>-6.4255330469305534</v>
      </c>
      <c r="I11" s="263">
        <f t="shared" si="1"/>
        <v>1.0469821909391404</v>
      </c>
      <c r="J11" s="343">
        <f t="shared" si="4"/>
        <v>6.4255330469305534</v>
      </c>
      <c r="K11" s="346">
        <f>Inputs_JanElectric!F19</f>
        <v>20.780260000000002</v>
      </c>
      <c r="L11" s="7">
        <f>RefTables!$F$126/1000</f>
        <v>18.940624999999997</v>
      </c>
      <c r="M11" s="4">
        <f>RefTables!$F$125/1000</f>
        <v>12.191666666666666</v>
      </c>
      <c r="N11" s="325"/>
      <c r="O11" s="4"/>
      <c r="P11" s="8"/>
      <c r="Q11" s="238">
        <f t="shared" si="2"/>
        <v>3.9264986197361083</v>
      </c>
      <c r="R11" s="277">
        <f t="shared" si="3"/>
        <v>0.87387698079610987</v>
      </c>
      <c r="S11" s="107"/>
      <c r="T11" s="107"/>
      <c r="U11" s="107"/>
      <c r="V11" s="107"/>
      <c r="W11" s="158"/>
      <c r="X11" s="159"/>
      <c r="Y11" s="158"/>
      <c r="Z11" s="197"/>
    </row>
    <row r="12" spans="2:26" x14ac:dyDescent="0.35">
      <c r="B12" s="10">
        <v>2019</v>
      </c>
      <c r="C12" s="7">
        <f>RefTables!D27+RefTables!$F$49*RefTables!$F$57/1000</f>
        <v>167.74355386487682</v>
      </c>
      <c r="D12" s="111">
        <f>-Inputs_SupplyCurve!AL13/1000</f>
        <v>-12.838816405823042</v>
      </c>
      <c r="E12" s="111">
        <f>-(Inputs_SupplyCurve!AM13+Inputs_SupplyCurve!AN13)/1000-RefTables!D288</f>
        <v>-11.265829161641747</v>
      </c>
      <c r="F12" s="7">
        <f>RefTables!$F$80/1000</f>
        <v>99.970249999999993</v>
      </c>
      <c r="G12" s="4">
        <f>RefTables!$F$127/1000</f>
        <v>36.795041666666663</v>
      </c>
      <c r="H12" s="238">
        <f t="shared" si="0"/>
        <v>-6.8736166307453459</v>
      </c>
      <c r="I12" s="263">
        <f t="shared" si="1"/>
        <v>1.0502584869814644</v>
      </c>
      <c r="J12" s="343">
        <f t="shared" si="4"/>
        <v>6.8736166307453459</v>
      </c>
      <c r="K12" s="346">
        <f>Inputs_JanElectric!F20</f>
        <v>16.20204</v>
      </c>
      <c r="L12" s="7">
        <f>RefTables!$F$126/1000</f>
        <v>18.940624999999997</v>
      </c>
      <c r="M12" s="4">
        <f>RefTables!$F$125/1000</f>
        <v>12.191666666666666</v>
      </c>
      <c r="N12" s="325"/>
      <c r="O12" s="4"/>
      <c r="P12" s="8"/>
      <c r="Q12" s="238">
        <f t="shared" si="2"/>
        <v>8.0566350359213175</v>
      </c>
      <c r="R12" s="243">
        <f t="shared" si="3"/>
        <v>0.74121291416052248</v>
      </c>
      <c r="S12" s="107"/>
      <c r="T12" s="107"/>
      <c r="U12" s="107"/>
      <c r="V12" s="107"/>
      <c r="W12" s="158"/>
      <c r="X12" s="159"/>
      <c r="Y12" s="160"/>
      <c r="Z12" s="158"/>
    </row>
    <row r="13" spans="2:26" x14ac:dyDescent="0.35">
      <c r="B13" s="10">
        <v>2020</v>
      </c>
      <c r="C13" s="7">
        <f>RefTables!D28+RefTables!$F$49*RefTables!$F$57/1000</f>
        <v>168.56469967420119</v>
      </c>
      <c r="D13" s="111">
        <f>-Inputs_SupplyCurve!AL14/1000</f>
        <v>-13.935429756935545</v>
      </c>
      <c r="E13" s="111">
        <f>-(Inputs_SupplyCurve!AM14+Inputs_SupplyCurve!AN14)/1000-RefTables!D289</f>
        <v>-12.289995449063724</v>
      </c>
      <c r="F13" s="7">
        <f>RefTables!$F$80/1000</f>
        <v>99.970249999999993</v>
      </c>
      <c r="G13" s="4">
        <f>RefTables!$F$127/1000</f>
        <v>36.795041666666663</v>
      </c>
      <c r="H13" s="238">
        <f t="shared" si="0"/>
        <v>-5.5739828015352657</v>
      </c>
      <c r="I13" s="263">
        <f t="shared" si="1"/>
        <v>1.040755828716547</v>
      </c>
      <c r="J13" s="343">
        <f t="shared" si="4"/>
        <v>5.5739828015352657</v>
      </c>
      <c r="K13" s="346">
        <f>Inputs_JanElectric!F21</f>
        <v>53.381320000000002</v>
      </c>
      <c r="L13" s="7">
        <f>RefTables!$F$126/1000</f>
        <v>18.940624999999997</v>
      </c>
      <c r="M13" s="4">
        <f>RefTables!$F$125/1000</f>
        <v>12.191666666666666</v>
      </c>
      <c r="N13" s="4"/>
      <c r="O13" s="4"/>
      <c r="P13" s="8">
        <f>BalancingMeasures!$N$15*$S13</f>
        <v>33.333333333333329</v>
      </c>
      <c r="Q13" s="238">
        <f t="shared" si="2"/>
        <v>5.5103221984647206</v>
      </c>
      <c r="R13" s="243">
        <f t="shared" si="3"/>
        <v>0.91452309353295314</v>
      </c>
      <c r="S13" s="107">
        <v>8</v>
      </c>
      <c r="T13" s="107"/>
      <c r="U13" s="107"/>
      <c r="V13" s="107"/>
      <c r="W13" s="158"/>
      <c r="X13" s="159"/>
      <c r="Y13" s="158"/>
      <c r="Z13" s="158"/>
    </row>
    <row r="14" spans="2:26" x14ac:dyDescent="0.35">
      <c r="B14" s="10">
        <v>2021</v>
      </c>
      <c r="C14" s="7">
        <f>RefTables!D29+RefTables!$F$49*RefTables!$F$57/1000</f>
        <v>169.38995121257219</v>
      </c>
      <c r="D14" s="111">
        <f>-Inputs_SupplyCurve!AL15/1000</f>
        <v>-14.70590746225548</v>
      </c>
      <c r="E14" s="111">
        <f>-(Inputs_SupplyCurve!AM15+Inputs_SupplyCurve!AN15)/1000-RefTables!D290</f>
        <v>-13.127680341605966</v>
      </c>
      <c r="F14" s="7">
        <f>RefTables!$F$80/1000</f>
        <v>99.970249999999993</v>
      </c>
      <c r="G14" s="4">
        <f>RefTables!$F$127/1000</f>
        <v>36.795041666666663</v>
      </c>
      <c r="H14" s="238">
        <f t="shared" si="0"/>
        <v>-4.791071742044096</v>
      </c>
      <c r="I14" s="263">
        <f t="shared" si="1"/>
        <v>1.0350313422627813</v>
      </c>
      <c r="J14" s="343">
        <f t="shared" si="4"/>
        <v>4.791071742044096</v>
      </c>
      <c r="K14" s="346">
        <f>Inputs_JanElectric!F22</f>
        <v>51.71199</v>
      </c>
      <c r="L14" s="7">
        <f>RefTables!$F$126/1000</f>
        <v>18.940624999999997</v>
      </c>
      <c r="M14" s="4">
        <f>RefTables!$F$125/1000</f>
        <v>12.191666666666666</v>
      </c>
      <c r="N14" s="4"/>
      <c r="O14" s="4"/>
      <c r="P14" s="8">
        <f>BalancingMeasures!$N$15*$S14</f>
        <v>33.333333333333329</v>
      </c>
      <c r="Q14" s="238">
        <f t="shared" si="2"/>
        <v>7.9625632579558925</v>
      </c>
      <c r="R14" s="243">
        <f t="shared" si="3"/>
        <v>0.87648357930360721</v>
      </c>
      <c r="S14" s="107">
        <v>8</v>
      </c>
      <c r="T14" s="107"/>
      <c r="U14" s="107"/>
      <c r="V14" s="107"/>
      <c r="W14" s="158"/>
      <c r="X14" s="159"/>
      <c r="Y14" s="158"/>
      <c r="Z14" s="158"/>
    </row>
    <row r="15" spans="2:26" x14ac:dyDescent="0.35">
      <c r="B15" s="10">
        <v>2022</v>
      </c>
      <c r="C15" s="7">
        <f>RefTables!D30+RefTables!$F$49*RefTables!$F$57/1000</f>
        <v>170.21932900863504</v>
      </c>
      <c r="D15" s="111">
        <f>-Inputs_SupplyCurve!AL16/1000</f>
        <v>-15.475632297536823</v>
      </c>
      <c r="E15" s="111">
        <f>-(Inputs_SupplyCurve!AM16+Inputs_SupplyCurve!AN16)/1000-RefTables!D291</f>
        <v>-13.965365234148209</v>
      </c>
      <c r="F15" s="7">
        <f>RefTables!$F$80/1000</f>
        <v>99.970249999999993</v>
      </c>
      <c r="G15" s="4">
        <f>RefTables!$F$127/1000</f>
        <v>36.795041666666663</v>
      </c>
      <c r="H15" s="238">
        <f t="shared" si="0"/>
        <v>-4.0130398102833453</v>
      </c>
      <c r="I15" s="263">
        <f t="shared" si="1"/>
        <v>1.0293425309987581</v>
      </c>
      <c r="J15" s="343">
        <f t="shared" si="4"/>
        <v>4.0130398102833453</v>
      </c>
      <c r="K15" s="346">
        <f>Inputs_JanElectric!F23</f>
        <v>50.569799999999987</v>
      </c>
      <c r="L15" s="7">
        <f>RefTables!$F$126/1000</f>
        <v>18.940624999999997</v>
      </c>
      <c r="M15" s="4">
        <f>RefTables!$F$125/1000</f>
        <v>12.191666666666666</v>
      </c>
      <c r="N15" s="4"/>
      <c r="O15" s="4"/>
      <c r="P15" s="8">
        <f>BalancingMeasures!$N$15*$S15</f>
        <v>33.333333333333329</v>
      </c>
      <c r="Q15" s="238">
        <f t="shared" si="2"/>
        <v>9.8827851897166568</v>
      </c>
      <c r="R15" s="243">
        <f t="shared" si="3"/>
        <v>0.84669682191529738</v>
      </c>
      <c r="S15" s="107">
        <v>8</v>
      </c>
      <c r="T15" s="107"/>
      <c r="U15" s="107"/>
      <c r="V15" s="107"/>
      <c r="W15" s="158"/>
      <c r="X15" s="159"/>
      <c r="Y15" s="158"/>
      <c r="Z15" s="158"/>
    </row>
    <row r="16" spans="2:26" x14ac:dyDescent="0.35">
      <c r="B16" s="10">
        <v>2023</v>
      </c>
      <c r="C16" s="7">
        <f>RefTables!D31+RefTables!$F$49*RefTables!$F$57/1000</f>
        <v>171.0528536936782</v>
      </c>
      <c r="D16" s="111">
        <f>-Inputs_SupplyCurve!AL17/1000</f>
        <v>-15.832642145807547</v>
      </c>
      <c r="E16" s="111">
        <f>-(Inputs_SupplyCurve!AM17+Inputs_SupplyCurve!AN17)/1000-RefTables!D292</f>
        <v>-14.803050126690451</v>
      </c>
      <c r="F16" s="7">
        <f>RefTables!$F$80/1000</f>
        <v>99.970249999999993</v>
      </c>
      <c r="G16" s="4">
        <f>RefTables!$F$127/1000</f>
        <v>36.795041666666663</v>
      </c>
      <c r="H16" s="238">
        <f t="shared" si="0"/>
        <v>-3.651869754513541</v>
      </c>
      <c r="I16" s="263">
        <f t="shared" si="1"/>
        <v>1.026701728998715</v>
      </c>
      <c r="J16" s="343">
        <f t="shared" si="4"/>
        <v>3.651869754513541</v>
      </c>
      <c r="K16" s="346">
        <f>Inputs_JanElectric!F24</f>
        <v>45.659699999999994</v>
      </c>
      <c r="L16" s="7">
        <f>RefTables!$F$126/1000</f>
        <v>18.940624999999997</v>
      </c>
      <c r="M16" s="4">
        <f>RefTables!$F$125/1000</f>
        <v>12.191666666666666</v>
      </c>
      <c r="N16" s="4"/>
      <c r="O16" s="4"/>
      <c r="P16" s="8">
        <f>BalancingMeasures!$N$15*$S16</f>
        <v>33.333333333333329</v>
      </c>
      <c r="Q16" s="238">
        <f t="shared" si="2"/>
        <v>15.154055245486454</v>
      </c>
      <c r="R16" s="243">
        <f t="shared" si="3"/>
        <v>0.76492812649398101</v>
      </c>
      <c r="S16" s="107">
        <v>8</v>
      </c>
      <c r="T16" s="107"/>
      <c r="U16" s="107"/>
      <c r="V16" s="107"/>
      <c r="W16" s="158"/>
      <c r="X16" s="159"/>
      <c r="Y16" s="158"/>
      <c r="Z16" s="158"/>
    </row>
    <row r="17" spans="2:26" x14ac:dyDescent="0.35">
      <c r="B17" s="10">
        <v>2024</v>
      </c>
      <c r="C17" s="7">
        <f>RefTables!D32+RefTables!$F$49*RefTables!$F$57/1000</f>
        <v>171.89054600214658</v>
      </c>
      <c r="D17" s="111">
        <f>-Inputs_SupplyCurve!AL18/1000</f>
        <v>-16.298804130984372</v>
      </c>
      <c r="E17" s="111">
        <f>-(Inputs_SupplyCurve!AM18+Inputs_SupplyCurve!AN18)/1000-RefTables!D293</f>
        <v>-15.640735019232693</v>
      </c>
      <c r="F17" s="7">
        <f>RefTables!$F$80/1000</f>
        <v>99.970249999999993</v>
      </c>
      <c r="G17" s="4">
        <f>RefTables!$F$127/1000</f>
        <v>36.795041666666663</v>
      </c>
      <c r="H17" s="238">
        <f t="shared" si="0"/>
        <v>-3.1857151852628647</v>
      </c>
      <c r="I17" s="263">
        <f t="shared" si="1"/>
        <v>1.0232933015858094</v>
      </c>
      <c r="J17" s="343">
        <f t="shared" si="4"/>
        <v>3.1857151852628647</v>
      </c>
      <c r="K17" s="346">
        <f>Inputs_JanElectric!F25</f>
        <v>51.418159999999993</v>
      </c>
      <c r="L17" s="7">
        <f>RefTables!$F$126/1000</f>
        <v>18.940624999999997</v>
      </c>
      <c r="M17" s="4">
        <f>RefTables!$F$125/1000</f>
        <v>12.191666666666666</v>
      </c>
      <c r="N17" s="4"/>
      <c r="O17" s="4"/>
      <c r="P17" s="8">
        <f>BalancingMeasures!$N$15*$S17</f>
        <v>33.333333333333329</v>
      </c>
      <c r="Q17" s="238">
        <f t="shared" si="2"/>
        <v>9.8617498147371307</v>
      </c>
      <c r="R17" s="243">
        <f t="shared" si="3"/>
        <v>0.84702312566213178</v>
      </c>
      <c r="S17" s="107">
        <v>8</v>
      </c>
      <c r="T17" s="107"/>
      <c r="U17" s="107"/>
      <c r="V17" s="107"/>
      <c r="W17" s="158"/>
      <c r="X17" s="159"/>
      <c r="Y17" s="158"/>
      <c r="Z17" s="158"/>
    </row>
    <row r="18" spans="2:26" x14ac:dyDescent="0.35">
      <c r="B18" s="10">
        <v>2025</v>
      </c>
      <c r="C18" s="7">
        <f>RefTables!D33+RefTables!$F$49*RefTables!$F$57/1000</f>
        <v>172.73242677215728</v>
      </c>
      <c r="D18" s="111">
        <f>-Inputs_SupplyCurve!AL19/1000</f>
        <v>-16.703852344055448</v>
      </c>
      <c r="E18" s="111">
        <f>-(Inputs_SupplyCurve!AM19+Inputs_SupplyCurve!AN19)/1000-RefTables!D294</f>
        <v>-16.478419911774935</v>
      </c>
      <c r="F18" s="7">
        <f>RefTables!$F$80/1000</f>
        <v>99.970249999999993</v>
      </c>
      <c r="G18" s="4">
        <f>RefTables!$F$127/1000</f>
        <v>36.795041666666663</v>
      </c>
      <c r="H18" s="238">
        <f t="shared" si="0"/>
        <v>-2.7848628496602146</v>
      </c>
      <c r="I18" s="263">
        <f t="shared" si="1"/>
        <v>1.0203623508254394</v>
      </c>
      <c r="J18" s="343">
        <f t="shared" si="4"/>
        <v>2.7848628496602146</v>
      </c>
      <c r="K18" s="346">
        <f>Inputs_JanElectric!F26</f>
        <v>50.925229999999999</v>
      </c>
      <c r="L18" s="7">
        <f>RefTables!$F$126/1000</f>
        <v>18.940624999999997</v>
      </c>
      <c r="M18" s="4">
        <f>RefTables!$F$125/1000</f>
        <v>12.191666666666666</v>
      </c>
      <c r="N18" s="4"/>
      <c r="O18" s="4"/>
      <c r="P18" s="8">
        <f>BalancingMeasures!$N$15*$S18</f>
        <v>33.333333333333329</v>
      </c>
      <c r="Q18" s="238">
        <f t="shared" si="2"/>
        <v>10.755532150339775</v>
      </c>
      <c r="R18" s="243">
        <f t="shared" si="3"/>
        <v>0.83315864617244029</v>
      </c>
      <c r="S18" s="107">
        <v>8</v>
      </c>
      <c r="T18" s="107"/>
      <c r="U18" s="107"/>
      <c r="V18" s="107"/>
      <c r="W18" s="158"/>
      <c r="X18" s="159"/>
      <c r="Y18" s="159"/>
      <c r="Z18" s="158"/>
    </row>
    <row r="19" spans="2:26" x14ac:dyDescent="0.35">
      <c r="B19" s="10">
        <v>2026</v>
      </c>
      <c r="C19" s="7">
        <f>RefTables!D34+RefTables!$F$49*RefTables!$F$57/1000</f>
        <v>173.57851694601806</v>
      </c>
      <c r="D19" s="111">
        <f>-Inputs_SupplyCurve!AL20/1000</f>
        <v>-17.083271756701425</v>
      </c>
      <c r="E19" s="111">
        <f>-(Inputs_SupplyCurve!AM20+Inputs_SupplyCurve!AN20)/1000-RefTables!D295</f>
        <v>-17.316104804317177</v>
      </c>
      <c r="F19" s="7">
        <f>RefTables!$F$80/1000</f>
        <v>99.970249999999993</v>
      </c>
      <c r="G19" s="4">
        <f>RefTables!$F$127/1000</f>
        <v>36.795041666666663</v>
      </c>
      <c r="H19" s="238">
        <f t="shared" si="0"/>
        <v>-2.4138487183327868</v>
      </c>
      <c r="I19" s="263">
        <f t="shared" si="1"/>
        <v>1.0176495709468159</v>
      </c>
      <c r="J19" s="343">
        <f t="shared" si="4"/>
        <v>2.4138487183327868</v>
      </c>
      <c r="K19" s="346">
        <f>Inputs_JanElectric!F27</f>
        <v>52.815229999999993</v>
      </c>
      <c r="L19" s="7">
        <f>RefTables!$F$126/1000</f>
        <v>18.940624999999997</v>
      </c>
      <c r="M19" s="4">
        <f>RefTables!$F$125/1000</f>
        <v>12.191666666666666</v>
      </c>
      <c r="N19" s="4"/>
      <c r="O19" s="4"/>
      <c r="P19" s="8">
        <f>BalancingMeasures!$N$15*$S19</f>
        <v>33.333333333333329</v>
      </c>
      <c r="Q19" s="238">
        <f t="shared" si="2"/>
        <v>9.2365462816672093</v>
      </c>
      <c r="R19" s="243">
        <f t="shared" si="3"/>
        <v>0.85672137233343804</v>
      </c>
      <c r="S19" s="107">
        <v>8</v>
      </c>
      <c r="T19" s="107"/>
      <c r="U19" s="107"/>
      <c r="V19" s="107"/>
      <c r="W19" s="158"/>
      <c r="X19" s="159"/>
      <c r="Y19" s="159"/>
      <c r="Z19" s="158"/>
    </row>
    <row r="20" spans="2:26" x14ac:dyDescent="0.35">
      <c r="B20" s="10">
        <v>2027</v>
      </c>
      <c r="C20" s="7">
        <f>RefTables!D35+RefTables!$F$49*RefTables!$F$57/1000</f>
        <v>174.42883757074813</v>
      </c>
      <c r="D20" s="111">
        <f>-Inputs_SupplyCurve!AL21/1000</f>
        <v>-17.288292820858608</v>
      </c>
      <c r="E20" s="111">
        <f>-(Inputs_SupplyCurve!AM21+Inputs_SupplyCurve!AN21)/1000-RefTables!D296</f>
        <v>-18.15378969685942</v>
      </c>
      <c r="F20" s="7">
        <f>RefTables!$F$80/1000</f>
        <v>99.970249999999993</v>
      </c>
      <c r="G20" s="4">
        <f>RefTables!$F$127/1000</f>
        <v>36.795041666666663</v>
      </c>
      <c r="H20" s="238">
        <f t="shared" si="0"/>
        <v>-2.221463386363439</v>
      </c>
      <c r="I20" s="263">
        <f t="shared" si="1"/>
        <v>1.0162428885230452</v>
      </c>
      <c r="J20" s="343">
        <f t="shared" si="4"/>
        <v>2.221463386363439</v>
      </c>
      <c r="K20" s="346">
        <f>Inputs_JanElectric!F28</f>
        <v>47.825549999999993</v>
      </c>
      <c r="L20" s="7">
        <f>RefTables!$F$126/1000</f>
        <v>18.940624999999997</v>
      </c>
      <c r="M20" s="4">
        <f>RefTables!$F$125/1000</f>
        <v>12.191666666666666</v>
      </c>
      <c r="N20" s="4"/>
      <c r="O20" s="4"/>
      <c r="P20" s="8">
        <f>BalancingMeasures!$N$15*$S20</f>
        <v>33.333333333333329</v>
      </c>
      <c r="Q20" s="238">
        <f t="shared" si="2"/>
        <v>14.418611613636557</v>
      </c>
      <c r="R20" s="243">
        <f t="shared" si="3"/>
        <v>0.77633643335286739</v>
      </c>
      <c r="S20" s="107">
        <v>8</v>
      </c>
      <c r="T20" s="107"/>
      <c r="U20" s="107"/>
      <c r="V20" s="107"/>
      <c r="W20" s="158"/>
      <c r="X20" s="159"/>
      <c r="Y20" s="159"/>
      <c r="Z20" s="158"/>
    </row>
    <row r="21" spans="2:26" x14ac:dyDescent="0.35">
      <c r="B21" s="10">
        <v>2028</v>
      </c>
      <c r="C21" s="7">
        <f>RefTables!D36+RefTables!$F$49*RefTables!$F$57/1000</f>
        <v>175.28340979860184</v>
      </c>
      <c r="D21" s="111">
        <f>-Inputs_SupplyCurve!AL22/1000</f>
        <v>-17.516075072155846</v>
      </c>
      <c r="E21" s="111">
        <f>-(Inputs_SupplyCurve!AM22+Inputs_SupplyCurve!AN22)/1000-RefTables!D297</f>
        <v>-18.991474589401662</v>
      </c>
      <c r="F21" s="7">
        <f>RefTables!$F$80/1000</f>
        <v>99.970249999999993</v>
      </c>
      <c r="G21" s="4">
        <f>RefTables!$F$127/1000</f>
        <v>36.795041666666663</v>
      </c>
      <c r="H21" s="238">
        <f t="shared" si="0"/>
        <v>-2.0105684703776774</v>
      </c>
      <c r="I21" s="263">
        <f t="shared" si="1"/>
        <v>1.0147008677850662</v>
      </c>
      <c r="J21" s="343">
        <f t="shared" si="4"/>
        <v>2.0105684703776774</v>
      </c>
      <c r="K21" s="346">
        <f>Inputs_JanElectric!F29</f>
        <v>52.017229999999998</v>
      </c>
      <c r="L21" s="7">
        <f>RefTables!$F$126/1000</f>
        <v>18.940624999999997</v>
      </c>
      <c r="M21" s="4">
        <f>RefTables!$F$125/1000</f>
        <v>12.191666666666666</v>
      </c>
      <c r="N21" s="4"/>
      <c r="O21" s="4"/>
      <c r="P21" s="8">
        <f>BalancingMeasures!$N$15*$S21</f>
        <v>33.333333333333329</v>
      </c>
      <c r="Q21" s="238">
        <f t="shared" si="2"/>
        <v>10.437826529622313</v>
      </c>
      <c r="R21" s="243">
        <f t="shared" si="3"/>
        <v>0.83808694122453142</v>
      </c>
      <c r="S21" s="107">
        <v>8</v>
      </c>
      <c r="T21" s="107"/>
      <c r="U21" s="107"/>
      <c r="V21" s="107"/>
      <c r="W21" s="158"/>
      <c r="X21" s="159"/>
      <c r="Y21" s="159"/>
      <c r="Z21" s="158"/>
    </row>
    <row r="22" spans="2:26" x14ac:dyDescent="0.35">
      <c r="B22" s="10">
        <v>2029</v>
      </c>
      <c r="C22" s="7">
        <f>RefTables!D37+RefTables!$F$49*RefTables!$F$57/1000</f>
        <v>176.14225488759482</v>
      </c>
      <c r="D22" s="111">
        <f>-Inputs_SupplyCurve!AL23/1000</f>
        <v>-17.604403492149142</v>
      </c>
      <c r="E22" s="111">
        <f>-(Inputs_SupplyCurve!AM23+Inputs_SupplyCurve!AN23)/1000-RefTables!D298</f>
        <v>-19.829159481943904</v>
      </c>
      <c r="F22" s="7">
        <f>RefTables!$F$80/1000</f>
        <v>99.970249999999993</v>
      </c>
      <c r="G22" s="4">
        <f>RefTables!$F$127/1000</f>
        <v>36.795041666666663</v>
      </c>
      <c r="H22" s="238">
        <f t="shared" si="0"/>
        <v>-1.9434002468350968</v>
      </c>
      <c r="I22" s="263">
        <f t="shared" si="1"/>
        <v>1.0142097473938905</v>
      </c>
      <c r="J22" s="343">
        <f t="shared" si="4"/>
        <v>1.9434002468350968</v>
      </c>
      <c r="K22" s="346">
        <f>Inputs_JanElectric!F30</f>
        <v>53.907229999999998</v>
      </c>
      <c r="L22" s="7">
        <f>RefTables!$F$126/1000</f>
        <v>18.940624999999997</v>
      </c>
      <c r="M22" s="4">
        <f>RefTables!$F$125/1000</f>
        <v>12.191666666666666</v>
      </c>
      <c r="N22" s="4"/>
      <c r="O22" s="4"/>
      <c r="P22" s="8">
        <f>BalancingMeasures!$N$15*$S22</f>
        <v>33.333333333333329</v>
      </c>
      <c r="Q22" s="238">
        <f t="shared" si="2"/>
        <v>8.6149947531648934</v>
      </c>
      <c r="R22" s="243">
        <f t="shared" si="3"/>
        <v>0.86636296858729134</v>
      </c>
      <c r="S22" s="107">
        <v>8</v>
      </c>
      <c r="T22" s="107"/>
      <c r="U22" s="107"/>
      <c r="V22" s="107"/>
      <c r="W22" s="158"/>
      <c r="X22" s="159"/>
      <c r="Y22" s="159"/>
      <c r="Z22" s="158"/>
    </row>
    <row r="23" spans="2:26" ht="18" thickBot="1" x14ac:dyDescent="0.4">
      <c r="B23" s="11">
        <v>2030</v>
      </c>
      <c r="C23" s="12">
        <f>RefTables!D38+RefTables!$F$49*RefTables!$F$57/1000</f>
        <v>177.00539420203276</v>
      </c>
      <c r="D23" s="112">
        <f>-Inputs_SupplyCurve!AL24/1000</f>
        <v>-17.653989744732193</v>
      </c>
      <c r="E23" s="112">
        <f>-(Inputs_SupplyCurve!AM24+Inputs_SupplyCurve!AN24)/1000-RefTables!D299</f>
        <v>-20.666844374486139</v>
      </c>
      <c r="F23" s="12">
        <f>RefTables!$F$80/1000</f>
        <v>99.970249999999993</v>
      </c>
      <c r="G23" s="13">
        <f>RefTables!$F$127/1000</f>
        <v>36.795041666666663</v>
      </c>
      <c r="H23" s="239">
        <f t="shared" si="0"/>
        <v>-1.9192684161477587</v>
      </c>
      <c r="I23" s="264">
        <f t="shared" si="1"/>
        <v>1.0140333003553674</v>
      </c>
      <c r="J23" s="344">
        <f t="shared" si="4"/>
        <v>1.9192684161477587</v>
      </c>
      <c r="K23" s="347">
        <f>Inputs_JanElectric!F31</f>
        <v>52.017229999999998</v>
      </c>
      <c r="L23" s="12">
        <f>RefTables!$F$126/1000</f>
        <v>18.940624999999997</v>
      </c>
      <c r="M23" s="13">
        <f>RefTables!$F$125/1000</f>
        <v>12.191666666666666</v>
      </c>
      <c r="N23" s="13"/>
      <c r="O23" s="13"/>
      <c r="P23" s="14">
        <f>BalancingMeasures!$N$15*$S23</f>
        <v>33.333333333333329</v>
      </c>
      <c r="Q23" s="239">
        <f t="shared" si="2"/>
        <v>10.529126583852232</v>
      </c>
      <c r="R23" s="252">
        <f t="shared" si="3"/>
        <v>0.83667068171832304</v>
      </c>
      <c r="S23" s="107">
        <v>8</v>
      </c>
      <c r="T23" s="107"/>
      <c r="U23" s="107"/>
      <c r="V23" s="107"/>
      <c r="W23" s="158"/>
      <c r="X23" s="159"/>
      <c r="Y23" s="159"/>
      <c r="Z23" s="158"/>
    </row>
    <row r="25" spans="2:26" ht="21.75" x14ac:dyDescent="0.45">
      <c r="B25" s="440" t="s">
        <v>3</v>
      </c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185"/>
      <c r="T25" s="185"/>
    </row>
    <row r="26" spans="2:26" ht="18" thickBot="1" x14ac:dyDescent="0.4">
      <c r="B26" s="2"/>
      <c r="C26" s="2"/>
      <c r="D26" s="184"/>
      <c r="E26" s="184"/>
      <c r="F26" s="75"/>
      <c r="G26" s="2"/>
      <c r="H26" s="2"/>
      <c r="I26" s="2"/>
    </row>
    <row r="27" spans="2:26" ht="19.5" customHeight="1" x14ac:dyDescent="0.4">
      <c r="B27" s="460" t="s">
        <v>549</v>
      </c>
      <c r="C27" s="454" t="s">
        <v>435</v>
      </c>
      <c r="D27" s="455"/>
      <c r="E27" s="455"/>
      <c r="F27" s="437" t="s">
        <v>551</v>
      </c>
      <c r="G27" s="438"/>
      <c r="H27" s="433" t="s">
        <v>1</v>
      </c>
      <c r="J27" s="456" t="s">
        <v>347</v>
      </c>
      <c r="K27" s="452" t="s">
        <v>435</v>
      </c>
      <c r="L27" s="453"/>
      <c r="M27" s="453"/>
      <c r="N27" s="435" t="s">
        <v>551</v>
      </c>
      <c r="O27" s="439"/>
      <c r="P27" s="435" t="s">
        <v>1</v>
      </c>
      <c r="Q27" s="435" t="s">
        <v>559</v>
      </c>
      <c r="R27" s="441"/>
    </row>
    <row r="28" spans="2:26" ht="52.5" customHeight="1" thickBot="1" x14ac:dyDescent="0.4">
      <c r="B28" s="461"/>
      <c r="C28" s="156" t="s">
        <v>456</v>
      </c>
      <c r="D28" s="157" t="s">
        <v>425</v>
      </c>
      <c r="E28" s="157" t="s">
        <v>20</v>
      </c>
      <c r="F28" s="350" t="s">
        <v>267</v>
      </c>
      <c r="G28" s="348" t="s">
        <v>106</v>
      </c>
      <c r="H28" s="434"/>
      <c r="J28" s="457"/>
      <c r="K28" s="154" t="s">
        <v>456</v>
      </c>
      <c r="L28" s="155" t="s">
        <v>425</v>
      </c>
      <c r="M28" s="155" t="s">
        <v>20</v>
      </c>
      <c r="N28" s="351" t="s">
        <v>537</v>
      </c>
      <c r="O28" s="349" t="s">
        <v>106</v>
      </c>
      <c r="P28" s="436"/>
      <c r="Q28" s="154" t="s">
        <v>560</v>
      </c>
      <c r="R28" s="357" t="s">
        <v>558</v>
      </c>
    </row>
    <row r="29" spans="2:26" x14ac:dyDescent="0.35">
      <c r="B29" s="9">
        <v>2015</v>
      </c>
      <c r="C29" s="5">
        <f>RefTables!C23/1000+(RefTables!$F$49*RefTables!$F$57/RefTables!E23)*10^-6</f>
        <v>262.16001363122507</v>
      </c>
      <c r="D29" s="110">
        <f>-Inputs_SupplyCurve!X9*10^-6</f>
        <v>-14.748059417778327</v>
      </c>
      <c r="E29" s="110">
        <f>-(Inputs_SupplyCurve!Y9+Inputs_SupplyCurve!Z9)*10^-6-RefTables!C284</f>
        <v>-11.961418513571806</v>
      </c>
      <c r="F29" s="342">
        <f>Inputs_AnnualElectric!L16*10^-6</f>
        <v>181.31131999999999</v>
      </c>
      <c r="G29" s="345">
        <f t="shared" ref="G29:G44" si="5">-O8/1000</f>
        <v>-4.0170000000000006E-3</v>
      </c>
      <c r="H29" s="278">
        <f t="shared" ref="H29:H44" si="6">SUM(C29:E29,F29,G29)</f>
        <v>416.75783869987492</v>
      </c>
      <c r="I29" s="77"/>
      <c r="J29" s="9">
        <v>2015</v>
      </c>
      <c r="K29" s="5">
        <f>C29*RefTables!$O139</f>
        <v>13.786087607379818</v>
      </c>
      <c r="L29" s="3">
        <f>D29*RefTables!$O139</f>
        <v>-0.77554939197683359</v>
      </c>
      <c r="M29" s="3">
        <f>E29*RefTables!$O139</f>
        <v>-0.62900959323491168</v>
      </c>
      <c r="N29" s="342">
        <f>Inputs_AnnualElectric!M16*10^-6</f>
        <v>18.248599257178302</v>
      </c>
      <c r="O29" s="345">
        <f>O8*RefTables!I165/1000</f>
        <v>9.7962852301197603E-5</v>
      </c>
      <c r="P29" s="342">
        <f t="shared" ref="P29:P44" si="7">SUM(K29:M29,N29,O29)</f>
        <v>30.630225842198676</v>
      </c>
      <c r="Q29" s="5" t="s">
        <v>561</v>
      </c>
      <c r="R29" s="358" t="s">
        <v>561</v>
      </c>
    </row>
    <row r="30" spans="2:26" x14ac:dyDescent="0.35">
      <c r="B30" s="10">
        <v>2016</v>
      </c>
      <c r="C30" s="7">
        <f>RefTables!C24/1000+(RefTables!$F$49*RefTables!$F$57/RefTables!E24)*10^-6</f>
        <v>266.66263355879875</v>
      </c>
      <c r="D30" s="111">
        <f>-Inputs_SupplyCurve!X10*10^-6</f>
        <v>-17.091628128484885</v>
      </c>
      <c r="E30" s="111">
        <f>-(Inputs_SupplyCurve!Y10+Inputs_SupplyCurve!Z10)*10^-6-RefTables!C285</f>
        <v>-13.670192586939207</v>
      </c>
      <c r="F30" s="343">
        <f>Inputs_AnnualElectric!L17*10^-6</f>
        <v>184.97228999999999</v>
      </c>
      <c r="G30" s="346">
        <f t="shared" si="5"/>
        <v>0</v>
      </c>
      <c r="H30" s="279">
        <f t="shared" si="6"/>
        <v>420.87310284337462</v>
      </c>
      <c r="I30" s="77"/>
      <c r="J30" s="10">
        <v>2016</v>
      </c>
      <c r="K30" s="7">
        <f>C30*RefTables!$O140</f>
        <v>14.023318260131667</v>
      </c>
      <c r="L30" s="4">
        <f>D30*RefTables!$O140</f>
        <v>-0.89881862198256846</v>
      </c>
      <c r="M30" s="4">
        <f>E30*RefTables!$O140</f>
        <v>-0.71889135258866788</v>
      </c>
      <c r="N30" s="343">
        <f>Inputs_AnnualElectric!M17*10^-6</f>
        <v>18.283062564555994</v>
      </c>
      <c r="O30" s="346">
        <f>O9*RefTables!I166/1000</f>
        <v>0</v>
      </c>
      <c r="P30" s="343">
        <f t="shared" si="7"/>
        <v>30.688670850116424</v>
      </c>
      <c r="Q30" s="7" t="s">
        <v>561</v>
      </c>
      <c r="R30" s="359" t="s">
        <v>561</v>
      </c>
    </row>
    <row r="31" spans="2:26" x14ac:dyDescent="0.35">
      <c r="B31" s="10">
        <v>2017</v>
      </c>
      <c r="C31" s="7">
        <f>RefTables!C25/1000+(RefTables!$F$49*RefTables!$F$57/RefTables!E25)*10^-6</f>
        <v>269.91601236696005</v>
      </c>
      <c r="D31" s="111">
        <f>-Inputs_SupplyCurve!X11*10^-6</f>
        <v>-19.586736639191439</v>
      </c>
      <c r="E31" s="111">
        <f>-(Inputs_SupplyCurve!Y11+Inputs_SupplyCurve!Z11)*10^-6-RefTables!C286</f>
        <v>-15.378966660306608</v>
      </c>
      <c r="F31" s="343">
        <f>Inputs_AnnualElectric!L18*10^-6</f>
        <v>197.08123999999998</v>
      </c>
      <c r="G31" s="346">
        <f t="shared" si="5"/>
        <v>0</v>
      </c>
      <c r="H31" s="279">
        <f t="shared" si="6"/>
        <v>432.03154906746198</v>
      </c>
      <c r="I31" s="77"/>
      <c r="J31" s="10">
        <v>2017</v>
      </c>
      <c r="K31" s="7">
        <f>C31*RefTables!$O141</f>
        <v>14.194624727085387</v>
      </c>
      <c r="L31" s="4">
        <f>D31*RefTables!$O141</f>
        <v>-1.0300477314535521</v>
      </c>
      <c r="M31" s="4">
        <f>E31*RefTables!$O141</f>
        <v>-0.80876513593652766</v>
      </c>
      <c r="N31" s="343">
        <f>Inputs_AnnualElectric!M18*10^-6</f>
        <v>17.778908580514624</v>
      </c>
      <c r="O31" s="346">
        <f>O10*RefTables!I167/1000</f>
        <v>0</v>
      </c>
      <c r="P31" s="343">
        <f t="shared" si="7"/>
        <v>30.134720440209932</v>
      </c>
      <c r="Q31" s="7" t="s">
        <v>561</v>
      </c>
      <c r="R31" s="359" t="s">
        <v>561</v>
      </c>
    </row>
    <row r="32" spans="2:26" x14ac:dyDescent="0.35">
      <c r="B32" s="10">
        <v>2018</v>
      </c>
      <c r="C32" s="7">
        <f>RefTables!C26/1000+(RefTables!$F$49*RefTables!$F$57/RefTables!E26)*10^-6</f>
        <v>273.65353546042417</v>
      </c>
      <c r="D32" s="111">
        <f>-Inputs_SupplyCurve!X12*10^-6</f>
        <v>-21.682223169897995</v>
      </c>
      <c r="E32" s="111">
        <f>-(Inputs_SupplyCurve!Y12+Inputs_SupplyCurve!Z12)*10^-6-RefTables!C287</f>
        <v>-17.087740733674007</v>
      </c>
      <c r="F32" s="343">
        <f>Inputs_AnnualElectric!L19*10^-6</f>
        <v>177.36827</v>
      </c>
      <c r="G32" s="346">
        <f t="shared" si="5"/>
        <v>0</v>
      </c>
      <c r="H32" s="279">
        <f t="shared" si="6"/>
        <v>412.25184155685213</v>
      </c>
      <c r="I32" s="77"/>
      <c r="J32" s="10">
        <v>2018</v>
      </c>
      <c r="K32" s="7">
        <f>C32*RefTables!$O142</f>
        <v>14.392299716320712</v>
      </c>
      <c r="L32" s="4">
        <f>D32*RefTables!$O142</f>
        <v>-1.1403362790555105</v>
      </c>
      <c r="M32" s="4">
        <f>E32*RefTables!$O142</f>
        <v>-0.8986980040292043</v>
      </c>
      <c r="N32" s="343">
        <f>Inputs_AnnualElectric!M19*10^-6</f>
        <v>14.850776764500338</v>
      </c>
      <c r="O32" s="346">
        <f>O11*RefTables!I168/1000</f>
        <v>0</v>
      </c>
      <c r="P32" s="343">
        <f t="shared" si="7"/>
        <v>27.204042197736335</v>
      </c>
      <c r="Q32" s="7" t="s">
        <v>561</v>
      </c>
      <c r="R32" s="359" t="s">
        <v>561</v>
      </c>
    </row>
    <row r="33" spans="2:18" x14ac:dyDescent="0.35">
      <c r="B33" s="10">
        <v>2019</v>
      </c>
      <c r="C33" s="7">
        <f>RefTables!C27/1000+(RefTables!$F$49*RefTables!$F$57/RefTables!E27)*10^-6</f>
        <v>277.53709599613234</v>
      </c>
      <c r="D33" s="111">
        <f>-Inputs_SupplyCurve!X13*10^-6</f>
        <v>-23.618286660152062</v>
      </c>
      <c r="E33" s="111">
        <f>-(Inputs_SupplyCurve!Y13+Inputs_SupplyCurve!Z13)*10^-6-RefTables!C288</f>
        <v>-18.796514807041408</v>
      </c>
      <c r="F33" s="343">
        <f>Inputs_AnnualElectric!L20*10^-6</f>
        <v>185.20353</v>
      </c>
      <c r="G33" s="346">
        <f t="shared" si="5"/>
        <v>0</v>
      </c>
      <c r="H33" s="279">
        <f t="shared" si="6"/>
        <v>420.32582452893888</v>
      </c>
      <c r="I33" s="77"/>
      <c r="J33" s="10">
        <v>2019</v>
      </c>
      <c r="K33" s="7">
        <f>C33*RefTables!$O143</f>
        <v>14.597233580002769</v>
      </c>
      <c r="L33" s="4">
        <f>D33*RefTables!$O143</f>
        <v>-1.2422182551859935</v>
      </c>
      <c r="M33" s="4">
        <f>E33*RefTables!$O143</f>
        <v>-0.98861421080873357</v>
      </c>
      <c r="N33" s="343">
        <f>Inputs_AnnualElectric!M20*10^-6</f>
        <v>15.115101188870236</v>
      </c>
      <c r="O33" s="346">
        <f>O12*RefTables!I169/1000</f>
        <v>0</v>
      </c>
      <c r="P33" s="343">
        <f t="shared" si="7"/>
        <v>27.481502302878276</v>
      </c>
      <c r="Q33" s="7" t="s">
        <v>561</v>
      </c>
      <c r="R33" s="359" t="s">
        <v>561</v>
      </c>
    </row>
    <row r="34" spans="2:18" x14ac:dyDescent="0.35">
      <c r="B34" s="10">
        <v>2020</v>
      </c>
      <c r="C34" s="7">
        <f>RefTables!C28/1000+(RefTables!$F$49*RefTables!$F$57/RefTables!E28)*10^-6</f>
        <v>278.89570810406974</v>
      </c>
      <c r="D34" s="111">
        <f>-Inputs_SupplyCurve!X14*10^-6</f>
        <v>-25.635616580858617</v>
      </c>
      <c r="E34" s="111">
        <f>-(Inputs_SupplyCurve!Y14+Inputs_SupplyCurve!Z14)*10^-6-RefTables!C289</f>
        <v>-20.505288880408809</v>
      </c>
      <c r="F34" s="343">
        <f>Inputs_AnnualElectric!L21*10^-6</f>
        <v>232.26021</v>
      </c>
      <c r="G34" s="346">
        <f t="shared" si="5"/>
        <v>0</v>
      </c>
      <c r="H34" s="279">
        <f t="shared" si="6"/>
        <v>465.01501264280228</v>
      </c>
      <c r="I34" s="77"/>
      <c r="J34" s="10">
        <v>2020</v>
      </c>
      <c r="K34" s="7">
        <f>C34*RefTables!$O144</f>
        <v>14.669979949578757</v>
      </c>
      <c r="L34" s="4">
        <f>D34*RefTables!$O144</f>
        <v>-1.3484394714885783</v>
      </c>
      <c r="M34" s="4">
        <f>E34*RefTables!$O144</f>
        <v>-1.0785830258229345</v>
      </c>
      <c r="N34" s="343">
        <f>Inputs_AnnualElectric!M21*10^-6</f>
        <v>14.825847103369014</v>
      </c>
      <c r="O34" s="346">
        <f>O13*RefTables!I170/1000</f>
        <v>0</v>
      </c>
      <c r="P34" s="238">
        <f t="shared" si="7"/>
        <v>27.068804555636255</v>
      </c>
      <c r="Q34" s="7">
        <f>RefTables!$F$227</f>
        <v>23.326496260794567</v>
      </c>
      <c r="R34" s="360" t="str">
        <f>IF(P34&lt;=Q34,"Yes","No")</f>
        <v>No</v>
      </c>
    </row>
    <row r="35" spans="2:18" x14ac:dyDescent="0.35">
      <c r="B35" s="10">
        <v>2021</v>
      </c>
      <c r="C35" s="7">
        <f>RefTables!C29/1000+(RefTables!$F$49*RefTables!$F$57/RefTables!E29)*10^-6</f>
        <v>280.26111327254694</v>
      </c>
      <c r="D35" s="111">
        <f>-Inputs_SupplyCurve!X15*10^-6</f>
        <v>-27.052987367565176</v>
      </c>
      <c r="E35" s="111">
        <f>-(Inputs_SupplyCurve!Y15+Inputs_SupplyCurve!Z15)*10^-6-RefTables!C290</f>
        <v>-21.902927372914633</v>
      </c>
      <c r="F35" s="343">
        <f>Inputs_AnnualElectric!L22*10^-6</f>
        <v>222.39714999999998</v>
      </c>
      <c r="G35" s="346">
        <f t="shared" si="5"/>
        <v>0</v>
      </c>
      <c r="H35" s="279">
        <f t="shared" si="6"/>
        <v>453.70234853206711</v>
      </c>
      <c r="I35" s="77"/>
      <c r="J35" s="10">
        <v>2021</v>
      </c>
      <c r="K35" s="7">
        <f>C35*RefTables!$O145</f>
        <v>14.744523354157211</v>
      </c>
      <c r="L35" s="4">
        <f>D35*RefTables!$O145</f>
        <v>-1.4232563318653508</v>
      </c>
      <c r="M35" s="4">
        <f>E35*RefTables!$O145</f>
        <v>-1.1523119294123763</v>
      </c>
      <c r="N35" s="343">
        <f>Inputs_AnnualElectric!M22*10^-6</f>
        <v>14.74793472151948</v>
      </c>
      <c r="O35" s="346">
        <f>O14*RefTables!I171/1000</f>
        <v>0</v>
      </c>
      <c r="P35" s="343">
        <f t="shared" si="7"/>
        <v>26.916889814398964</v>
      </c>
      <c r="Q35" s="7" t="s">
        <v>561</v>
      </c>
      <c r="R35" s="359" t="s">
        <v>561</v>
      </c>
    </row>
    <row r="36" spans="2:18" x14ac:dyDescent="0.35">
      <c r="B36" s="10">
        <v>2022</v>
      </c>
      <c r="C36" s="7">
        <f>RefTables!C30/1000+(RefTables!$F$49*RefTables!$F$57/RefTables!E30)*10^-6</f>
        <v>281.63334546686644</v>
      </c>
      <c r="D36" s="111">
        <f>-Inputs_SupplyCurve!X16*10^-6</f>
        <v>-28.468973174548733</v>
      </c>
      <c r="E36" s="111">
        <f>-(Inputs_SupplyCurve!Y16+Inputs_SupplyCurve!Z16)*10^-6-RefTables!C291</f>
        <v>-23.300565865420459</v>
      </c>
      <c r="F36" s="343">
        <f>Inputs_AnnualElectric!L23*10^-6</f>
        <v>191.56509</v>
      </c>
      <c r="G36" s="346">
        <f t="shared" si="5"/>
        <v>0</v>
      </c>
      <c r="H36" s="279">
        <f t="shared" si="6"/>
        <v>421.42889642689727</v>
      </c>
      <c r="I36" s="77"/>
      <c r="J36" s="10">
        <v>2022</v>
      </c>
      <c r="K36" s="7">
        <f>C36*RefTables!$O146</f>
        <v>14.820700159149807</v>
      </c>
      <c r="L36" s="4">
        <f>D36*RefTables!$O146</f>
        <v>-1.4981539723551844</v>
      </c>
      <c r="M36" s="4">
        <f>E36*RefTables!$O146</f>
        <v>-1.2261712108609133</v>
      </c>
      <c r="N36" s="343">
        <f>Inputs_AnnualElectric!M23*10^-6</f>
        <v>12.618699322070535</v>
      </c>
      <c r="O36" s="346">
        <f>O15*RefTables!I172/1000</f>
        <v>0</v>
      </c>
      <c r="P36" s="343">
        <f t="shared" si="7"/>
        <v>24.715074298004243</v>
      </c>
      <c r="Q36" s="7" t="s">
        <v>561</v>
      </c>
      <c r="R36" s="359" t="s">
        <v>561</v>
      </c>
    </row>
    <row r="37" spans="2:18" x14ac:dyDescent="0.35">
      <c r="B37" s="10">
        <v>2023</v>
      </c>
      <c r="C37" s="7">
        <f>RefTables!C31/1000+(RefTables!$F$49*RefTables!$F$57/RefTables!E31)*10^-6</f>
        <v>283.01243882215761</v>
      </c>
      <c r="D37" s="111">
        <f>-Inputs_SupplyCurve!X17*10^-6</f>
        <v>-29.125728491427559</v>
      </c>
      <c r="E37" s="111">
        <f>-(Inputs_SupplyCurve!Y17+Inputs_SupplyCurve!Z17)*10^-6-RefTables!C292</f>
        <v>-24.698204357926286</v>
      </c>
      <c r="F37" s="343">
        <f>Inputs_AnnualElectric!L24*10^-6</f>
        <v>195.85052999999999</v>
      </c>
      <c r="G37" s="346">
        <f t="shared" si="5"/>
        <v>0</v>
      </c>
      <c r="H37" s="279">
        <f t="shared" si="6"/>
        <v>425.03903597280373</v>
      </c>
      <c r="I37" s="77"/>
      <c r="J37" s="10">
        <v>2023</v>
      </c>
      <c r="K37" s="7">
        <f>C37*RefTables!$O147</f>
        <v>14.898140021790372</v>
      </c>
      <c r="L37" s="4">
        <f>D37*RefTables!$O147</f>
        <v>-1.5332159360479836</v>
      </c>
      <c r="M37" s="4">
        <f>E37*RefTables!$O147</f>
        <v>-1.3001453517115549</v>
      </c>
      <c r="N37" s="343">
        <f>Inputs_AnnualElectric!M24*10^-6</f>
        <v>12.772990118368375</v>
      </c>
      <c r="O37" s="346">
        <f>O16*RefTables!I173/1000</f>
        <v>0</v>
      </c>
      <c r="P37" s="343">
        <f t="shared" si="7"/>
        <v>24.837768852399208</v>
      </c>
      <c r="Q37" s="7" t="s">
        <v>561</v>
      </c>
      <c r="R37" s="359" t="s">
        <v>561</v>
      </c>
    </row>
    <row r="38" spans="2:18" x14ac:dyDescent="0.35">
      <c r="B38" s="10">
        <v>2024</v>
      </c>
      <c r="C38" s="7">
        <f>RefTables!C32/1000+(RefTables!$F$49*RefTables!$F$57/RefTables!E32)*10^-6</f>
        <v>284.39842764422514</v>
      </c>
      <c r="D38" s="111">
        <f>-Inputs_SupplyCurve!X18*10^-6</f>
        <v>-29.983280079358845</v>
      </c>
      <c r="E38" s="111">
        <f>-(Inputs_SupplyCurve!Y18+Inputs_SupplyCurve!Z18)*10^-6-RefTables!C293</f>
        <v>-26.095842850432113</v>
      </c>
      <c r="F38" s="343">
        <f>Inputs_AnnualElectric!L25*10^-6</f>
        <v>212.94077999999999</v>
      </c>
      <c r="G38" s="346">
        <f t="shared" si="5"/>
        <v>0</v>
      </c>
      <c r="H38" s="279">
        <f t="shared" si="6"/>
        <v>441.26008471443413</v>
      </c>
      <c r="I38" s="77"/>
      <c r="J38" s="10">
        <v>2024</v>
      </c>
      <c r="K38" s="7">
        <f>C38*RefTables!$O148</f>
        <v>14.978332305599096</v>
      </c>
      <c r="L38" s="4">
        <f>D38*RefTables!$O148</f>
        <v>-1.5791210111832896</v>
      </c>
      <c r="M38" s="4">
        <f>E38*RefTables!$O148</f>
        <v>-1.3743824438348697</v>
      </c>
      <c r="N38" s="343">
        <f>Inputs_AnnualElectric!M25*10^-6</f>
        <v>12.65770111543244</v>
      </c>
      <c r="O38" s="346">
        <f>O17*RefTables!I174/1000</f>
        <v>0</v>
      </c>
      <c r="P38" s="343">
        <f t="shared" si="7"/>
        <v>24.682529966013377</v>
      </c>
      <c r="Q38" s="7" t="s">
        <v>561</v>
      </c>
      <c r="R38" s="359" t="s">
        <v>561</v>
      </c>
    </row>
    <row r="39" spans="2:18" x14ac:dyDescent="0.35">
      <c r="B39" s="10">
        <v>2025</v>
      </c>
      <c r="C39" s="7">
        <f>RefTables!C33/1000+(RefTables!$F$49*RefTables!$F$57/RefTables!E33)*10^-6</f>
        <v>285.79134641040304</v>
      </c>
      <c r="D39" s="111">
        <f>-Inputs_SupplyCurve!X19*10^-6</f>
        <v>-30.728406772124394</v>
      </c>
      <c r="E39" s="111">
        <f>-(Inputs_SupplyCurve!Y19+Inputs_SupplyCurve!Z19)*10^-6-RefTables!C294</f>
        <v>-27.49348134293794</v>
      </c>
      <c r="F39" s="343">
        <f>Inputs_AnnualElectric!L26*10^-6</f>
        <v>216.73783999999998</v>
      </c>
      <c r="G39" s="346">
        <f t="shared" si="5"/>
        <v>0</v>
      </c>
      <c r="H39" s="279">
        <f t="shared" si="6"/>
        <v>444.30729829534067</v>
      </c>
      <c r="I39" s="77"/>
      <c r="J39" s="10">
        <v>2025</v>
      </c>
      <c r="K39" s="7">
        <f>C39*RefTables!$O149</f>
        <v>15.060203172349356</v>
      </c>
      <c r="L39" s="4">
        <f>D39*RefTables!$O149</f>
        <v>-1.6192794322268669</v>
      </c>
      <c r="M39" s="4">
        <f>E39*RefTables!$O149</f>
        <v>-1.4488101901631609</v>
      </c>
      <c r="N39" s="343">
        <f>Inputs_AnnualElectric!M26*10^-6</f>
        <v>12.830020193540532</v>
      </c>
      <c r="O39" s="346">
        <f>O18*RefTables!I175/1000</f>
        <v>0</v>
      </c>
      <c r="P39" s="343">
        <f t="shared" si="7"/>
        <v>24.822133743499862</v>
      </c>
      <c r="Q39" s="7" t="s">
        <v>561</v>
      </c>
      <c r="R39" s="359" t="s">
        <v>561</v>
      </c>
    </row>
    <row r="40" spans="2:18" x14ac:dyDescent="0.35">
      <c r="B40" s="10">
        <v>2026</v>
      </c>
      <c r="C40" s="7">
        <f>RefTables!C34/1000+(RefTables!$F$49*RefTables!$F$57/RefTables!E34)*10^-6</f>
        <v>287.19122977041189</v>
      </c>
      <c r="D40" s="111">
        <f>-Inputs_SupplyCurve!X20*10^-6</f>
        <v>-31.426386723627939</v>
      </c>
      <c r="E40" s="111">
        <f>-(Inputs_SupplyCurve!Y20+Inputs_SupplyCurve!Z20)*10^-6-RefTables!C295</f>
        <v>-28.891119835443767</v>
      </c>
      <c r="F40" s="343">
        <f>Inputs_AnnualElectric!L27*10^-6</f>
        <v>216.73969</v>
      </c>
      <c r="G40" s="346">
        <f t="shared" si="5"/>
        <v>0</v>
      </c>
      <c r="H40" s="279">
        <f t="shared" si="6"/>
        <v>443.61341321134023</v>
      </c>
      <c r="I40" s="77"/>
      <c r="J40" s="10">
        <v>2026</v>
      </c>
      <c r="K40" s="7">
        <f>C40*RefTables!$O150</f>
        <v>15.1445745280541</v>
      </c>
      <c r="L40" s="4">
        <f>D40*RefTables!$O150</f>
        <v>-1.6572207175821887</v>
      </c>
      <c r="M40" s="4">
        <f>E40*RefTables!$O150</f>
        <v>-1.5235274346525276</v>
      </c>
      <c r="N40" s="343">
        <f>Inputs_AnnualElectric!M27*10^-6</f>
        <v>12.696573127636462</v>
      </c>
      <c r="O40" s="346">
        <f>O19*RefTables!I176/1000</f>
        <v>0</v>
      </c>
      <c r="P40" s="343">
        <f t="shared" si="7"/>
        <v>24.660399503455849</v>
      </c>
      <c r="Q40" s="7" t="s">
        <v>561</v>
      </c>
      <c r="R40" s="359" t="s">
        <v>561</v>
      </c>
    </row>
    <row r="41" spans="2:18" x14ac:dyDescent="0.35">
      <c r="B41" s="10">
        <v>2027</v>
      </c>
      <c r="C41" s="7">
        <f>RefTables!C35/1000+(RefTables!$F$49*RefTables!$F$57/RefTables!E35)*10^-6</f>
        <v>288.59811254722075</v>
      </c>
      <c r="D41" s="111">
        <f>-Inputs_SupplyCurve!X21*10^-6</f>
        <v>-31.803543473251491</v>
      </c>
      <c r="E41" s="111">
        <f>-(Inputs_SupplyCurve!Y21+Inputs_SupplyCurve!Z21)*10^-6-RefTables!C296</f>
        <v>-30.288758327949594</v>
      </c>
      <c r="F41" s="343">
        <f>Inputs_AnnualElectric!L28*10^-6</f>
        <v>216.52791999999999</v>
      </c>
      <c r="G41" s="346">
        <f t="shared" si="5"/>
        <v>0</v>
      </c>
      <c r="H41" s="279">
        <f t="shared" si="6"/>
        <v>443.03373074601967</v>
      </c>
      <c r="I41" s="77"/>
      <c r="J41" s="10">
        <v>2027</v>
      </c>
      <c r="K41" s="7">
        <f>C41*RefTables!$O151</f>
        <v>15.228800504361317</v>
      </c>
      <c r="L41" s="4">
        <f>D41*RefTables!$O151</f>
        <v>-1.6782154762245118</v>
      </c>
      <c r="M41" s="4">
        <f>E41*RefTables!$O151</f>
        <v>-1.5982830034125213</v>
      </c>
      <c r="N41" s="343">
        <f>Inputs_AnnualElectric!M28*10^-6</f>
        <v>12.769749062702704</v>
      </c>
      <c r="O41" s="346">
        <f>O20*RefTables!I177/1000</f>
        <v>0</v>
      </c>
      <c r="P41" s="343">
        <f t="shared" si="7"/>
        <v>24.722051087426987</v>
      </c>
      <c r="Q41" s="7" t="s">
        <v>561</v>
      </c>
      <c r="R41" s="359" t="s">
        <v>561</v>
      </c>
    </row>
    <row r="42" spans="2:18" x14ac:dyDescent="0.35">
      <c r="B42" s="10">
        <v>2028</v>
      </c>
      <c r="C42" s="7">
        <f>RefTables!C36/1000+(RefTables!$F$49*RefTables!$F$57/RefTables!E36)*10^-6</f>
        <v>290.01202973791362</v>
      </c>
      <c r="D42" s="111">
        <f>-Inputs_SupplyCurve!X22*10^-6</f>
        <v>-32.222571702737888</v>
      </c>
      <c r="E42" s="111">
        <f>-(Inputs_SupplyCurve!Y22+Inputs_SupplyCurve!Z22)*10^-6-RefTables!C297</f>
        <v>-31.686396820455421</v>
      </c>
      <c r="F42" s="343">
        <f>Inputs_AnnualElectric!L29*10^-6</f>
        <v>233.39266999999998</v>
      </c>
      <c r="G42" s="346">
        <f t="shared" si="5"/>
        <v>0</v>
      </c>
      <c r="H42" s="279">
        <f t="shared" si="6"/>
        <v>459.49573121472031</v>
      </c>
      <c r="I42" s="77"/>
      <c r="J42" s="10">
        <v>2028</v>
      </c>
      <c r="K42" s="7">
        <f>C42*RefTables!$O152</f>
        <v>15.322748535150183</v>
      </c>
      <c r="L42" s="4">
        <f>D42*RefTables!$O152</f>
        <v>-1.7024754587011246</v>
      </c>
      <c r="M42" s="4">
        <f>E42*RefTables!$O152</f>
        <v>-1.6741467273050423</v>
      </c>
      <c r="N42" s="343">
        <f>Inputs_AnnualElectric!M29*10^-6</f>
        <v>12.879221097828149</v>
      </c>
      <c r="O42" s="346">
        <f>O21*RefTables!I178/1000</f>
        <v>0</v>
      </c>
      <c r="P42" s="343">
        <f t="shared" si="7"/>
        <v>24.825347446972167</v>
      </c>
      <c r="Q42" s="7" t="s">
        <v>561</v>
      </c>
      <c r="R42" s="359" t="s">
        <v>561</v>
      </c>
    </row>
    <row r="43" spans="2:18" x14ac:dyDescent="0.35">
      <c r="B43" s="10">
        <v>2029</v>
      </c>
      <c r="C43" s="7">
        <f>RefTables!C37/1000+(RefTables!$F$49*RefTables!$F$57/RefTables!E37)*10^-6</f>
        <v>291.43301651455999</v>
      </c>
      <c r="D43" s="111">
        <f>-Inputs_SupplyCurve!X23*10^-6</f>
        <v>-32.385060664157564</v>
      </c>
      <c r="E43" s="111">
        <f>-(Inputs_SupplyCurve!Y23+Inputs_SupplyCurve!Z23)*10^-6-RefTables!C298</f>
        <v>-33.084035312961248</v>
      </c>
      <c r="F43" s="343">
        <f>Inputs_AnnualElectric!L30*10^-6</f>
        <v>236.8518</v>
      </c>
      <c r="G43" s="346">
        <f t="shared" si="5"/>
        <v>0</v>
      </c>
      <c r="H43" s="279">
        <f t="shared" si="6"/>
        <v>462.81572053744117</v>
      </c>
      <c r="I43" s="77"/>
      <c r="J43" s="10">
        <v>2029</v>
      </c>
      <c r="K43" s="7">
        <f>C43*RefTables!$O153</f>
        <v>15.419922484150035</v>
      </c>
      <c r="L43" s="4">
        <f>D43*RefTables!$O153</f>
        <v>-1.7135159600588952</v>
      </c>
      <c r="M43" s="4">
        <f>E43*RefTables!$O153</f>
        <v>-1.7504991921986219</v>
      </c>
      <c r="N43" s="343">
        <f>Inputs_AnnualElectric!M30*10^-6</f>
        <v>13.181965074903555</v>
      </c>
      <c r="O43" s="346">
        <f>O22*RefTables!I179/1000</f>
        <v>0</v>
      </c>
      <c r="P43" s="343">
        <f t="shared" si="7"/>
        <v>25.137872406796074</v>
      </c>
      <c r="Q43" s="7" t="s">
        <v>561</v>
      </c>
      <c r="R43" s="359" t="s">
        <v>561</v>
      </c>
    </row>
    <row r="44" spans="2:18" ht="19.5" customHeight="1" thickBot="1" x14ac:dyDescent="0.4">
      <c r="B44" s="11">
        <v>2030</v>
      </c>
      <c r="C44" s="12">
        <f>RefTables!C38/1000+(RefTables!$F$49*RefTables!$F$57/RefTables!E38)*10^-6</f>
        <v>292.86110822508959</v>
      </c>
      <c r="D44" s="112">
        <f>-Inputs_SupplyCurve!X24*10^-6</f>
        <v>-32.476279534409336</v>
      </c>
      <c r="E44" s="112">
        <f>-(Inputs_SupplyCurve!Y24+Inputs_SupplyCurve!Z24)*10^-6-RefTables!C299</f>
        <v>-34.481673805467061</v>
      </c>
      <c r="F44" s="344">
        <f>Inputs_AnnualElectric!L31*10^-6</f>
        <v>227.84047999999999</v>
      </c>
      <c r="G44" s="347">
        <f t="shared" si="5"/>
        <v>0</v>
      </c>
      <c r="H44" s="280">
        <f t="shared" si="6"/>
        <v>453.74363488521317</v>
      </c>
      <c r="I44" s="77"/>
      <c r="J44" s="11">
        <v>2030</v>
      </c>
      <c r="K44" s="12">
        <f>C44*RefTables!$O154</f>
        <v>15.520942419121136</v>
      </c>
      <c r="L44" s="13">
        <f>D44*RefTables!$O154</f>
        <v>-1.7211655985861838</v>
      </c>
      <c r="M44" s="13">
        <f>E44*RefTables!$O154</f>
        <v>-1.8274467268567207</v>
      </c>
      <c r="N44" s="344">
        <f>Inputs_AnnualElectric!M31*10^-6</f>
        <v>13.001971554815331</v>
      </c>
      <c r="O44" s="347">
        <f>O23*RefTables!I180/1000</f>
        <v>0</v>
      </c>
      <c r="P44" s="239">
        <f t="shared" si="7"/>
        <v>24.974301648493562</v>
      </c>
      <c r="Q44" s="12">
        <f>RefTables!$G$227</f>
        <v>18.676721162166132</v>
      </c>
      <c r="R44" s="361" t="str">
        <f>IF(P44&lt;=Q44,"Yes","No")</f>
        <v>No</v>
      </c>
    </row>
    <row r="45" spans="2:18" ht="18" thickBot="1" x14ac:dyDescent="0.4">
      <c r="C45" s="184"/>
      <c r="D45" s="184"/>
      <c r="E45" s="184"/>
      <c r="F45" s="184"/>
      <c r="H45" s="184"/>
    </row>
    <row r="46" spans="2:18" ht="19.5" customHeight="1" x14ac:dyDescent="0.4">
      <c r="B46" s="444" t="s">
        <v>266</v>
      </c>
      <c r="C46" s="448" t="s">
        <v>438</v>
      </c>
      <c r="D46" s="449"/>
      <c r="E46" s="449"/>
      <c r="F46" s="449"/>
      <c r="G46" s="449"/>
      <c r="H46" s="449"/>
      <c r="I46" s="449"/>
      <c r="J46" s="449"/>
      <c r="K46" s="449"/>
      <c r="L46" s="450"/>
      <c r="M46" s="448" t="s">
        <v>439</v>
      </c>
      <c r="N46" s="449"/>
      <c r="O46" s="449"/>
      <c r="P46" s="450"/>
      <c r="Q46" s="442" t="s">
        <v>426</v>
      </c>
    </row>
    <row r="47" spans="2:18" ht="52.5" thickBot="1" x14ac:dyDescent="0.4">
      <c r="B47" s="445"/>
      <c r="C47" s="151" t="s">
        <v>456</v>
      </c>
      <c r="D47" s="152" t="s">
        <v>425</v>
      </c>
      <c r="E47" s="152" t="s">
        <v>424</v>
      </c>
      <c r="F47" s="152" t="s">
        <v>349</v>
      </c>
      <c r="G47" s="152" t="s">
        <v>329</v>
      </c>
      <c r="H47" s="152" t="s">
        <v>328</v>
      </c>
      <c r="I47" s="152" t="s">
        <v>267</v>
      </c>
      <c r="J47" s="152" t="s">
        <v>107</v>
      </c>
      <c r="K47" s="152" t="s">
        <v>106</v>
      </c>
      <c r="L47" s="152" t="s">
        <v>1</v>
      </c>
      <c r="M47" s="151" t="s">
        <v>20</v>
      </c>
      <c r="N47" s="152" t="s">
        <v>429</v>
      </c>
      <c r="O47" s="152" t="s">
        <v>430</v>
      </c>
      <c r="P47" s="153" t="s">
        <v>1</v>
      </c>
      <c r="Q47" s="443"/>
    </row>
    <row r="48" spans="2:18" x14ac:dyDescent="0.35">
      <c r="B48" s="9">
        <v>2015</v>
      </c>
      <c r="C48" s="286">
        <f>(C29+SUM(D29:E29))*RefTables!$G189</f>
        <v>873.07298178946098</v>
      </c>
      <c r="D48" s="283">
        <f>Inputs_SupplyCurve!H9</f>
        <v>137.59396913152196</v>
      </c>
      <c r="E48" s="283">
        <f>Inputs_SupplyCurve!K9</f>
        <v>506.56634289154363</v>
      </c>
      <c r="F48" s="283">
        <f>Inputs_SupplyCurve!L9</f>
        <v>97.003539999999987</v>
      </c>
      <c r="G48" s="283">
        <f>SUMIFS(PriceSpikes!$N$7:$N$198,PriceSpikes!$B$7:$B$198,B48)</f>
        <v>0</v>
      </c>
      <c r="H48" s="283">
        <f>BalancingMeasures!$M$15*S8*10^-6</f>
        <v>0</v>
      </c>
      <c r="I48" s="283">
        <f>Inputs_AnnualElectric!N16</f>
        <v>2181.4164934705359</v>
      </c>
      <c r="J48" s="283">
        <f>T8*BalancingMeasures!$I$10*10^-6</f>
        <v>0.252</v>
      </c>
      <c r="K48" s="283">
        <f>U8*BalancingMeasures!$J$9/1000</f>
        <v>12.051</v>
      </c>
      <c r="L48" s="283">
        <f t="shared" ref="L48:L63" si="8">SUM(C48:K48)</f>
        <v>3807.9563272830619</v>
      </c>
      <c r="M48" s="286">
        <f>Inputs_SupplyCurve!I9</f>
        <v>0</v>
      </c>
      <c r="N48" s="283">
        <f>Inputs_SupplyCurve!J9</f>
        <v>0</v>
      </c>
      <c r="O48" s="283"/>
      <c r="P48" s="18">
        <f>SUM(M48:O48)</f>
        <v>0</v>
      </c>
      <c r="Q48" s="289">
        <f>L48-S1_BaseRefNGNoHydro!L48+P48</f>
        <v>-3.637978807091713E-12</v>
      </c>
      <c r="R48" s="83"/>
    </row>
    <row r="49" spans="2:18" x14ac:dyDescent="0.35">
      <c r="B49" s="10">
        <v>2016</v>
      </c>
      <c r="C49" s="287">
        <f>(C30+SUM(D30:E30))*RefTables!$G190</f>
        <v>971.01704997779871</v>
      </c>
      <c r="D49" s="284">
        <f>Inputs_SupplyCurve!H10</f>
        <v>158.43774250624335</v>
      </c>
      <c r="E49" s="284">
        <f>Inputs_SupplyCurve!K10</f>
        <v>577.06381397490384</v>
      </c>
      <c r="F49" s="284">
        <f>Inputs_SupplyCurve!L10</f>
        <v>0</v>
      </c>
      <c r="G49" s="284">
        <f>SUMIFS(PriceSpikes!$N$7:$N$198,PriceSpikes!$B$7:$B$198,B49)</f>
        <v>-4.3963514292003888E-2</v>
      </c>
      <c r="H49" s="284">
        <f>BalancingMeasures!$M$15*S9*10^-6</f>
        <v>0</v>
      </c>
      <c r="I49" s="284">
        <f>Inputs_AnnualElectric!N17</f>
        <v>2300.3888023554205</v>
      </c>
      <c r="J49" s="284">
        <f>T9*BalancingMeasures!$I$10*10^-6</f>
        <v>0</v>
      </c>
      <c r="K49" s="284">
        <f>U9*BalancingMeasures!$J$9/1000</f>
        <v>0</v>
      </c>
      <c r="L49" s="284">
        <f t="shared" si="8"/>
        <v>4006.8634453000745</v>
      </c>
      <c r="M49" s="287">
        <f>Inputs_SupplyCurve!I10</f>
        <v>0</v>
      </c>
      <c r="N49" s="284">
        <f>Inputs_SupplyCurve!J10</f>
        <v>0</v>
      </c>
      <c r="O49" s="284"/>
      <c r="P49" s="19">
        <f t="shared" ref="P49:P63" si="9">SUM(M49:O49)</f>
        <v>0</v>
      </c>
      <c r="Q49" s="290">
        <f>L49-S1_BaseRefNGNoHydro!L49+P49</f>
        <v>-5.0022208597511053E-12</v>
      </c>
      <c r="R49" s="83"/>
    </row>
    <row r="50" spans="2:18" x14ac:dyDescent="0.35">
      <c r="B50" s="10">
        <v>2017</v>
      </c>
      <c r="C50" s="287">
        <f>(C31+SUM(D31:E31))*RefTables!$G191</f>
        <v>1024.4802378327197</v>
      </c>
      <c r="D50" s="284">
        <f>Inputs_SupplyCurve!H11</f>
        <v>181.09848073679791</v>
      </c>
      <c r="E50" s="284">
        <f>Inputs_SupplyCurve!K11</f>
        <v>641.34409344592439</v>
      </c>
      <c r="F50" s="284">
        <f>Inputs_SupplyCurve!L11</f>
        <v>0</v>
      </c>
      <c r="G50" s="284">
        <f>SUMIFS(PriceSpikes!$N$7:$N$198,PriceSpikes!$B$7:$B$198,B50)</f>
        <v>0</v>
      </c>
      <c r="H50" s="284">
        <f>BalancingMeasures!$M$15*S10*10^-6</f>
        <v>0</v>
      </c>
      <c r="I50" s="284">
        <f>Inputs_AnnualElectric!N18</f>
        <v>2298.2574725682002</v>
      </c>
      <c r="J50" s="284">
        <f>T10*BalancingMeasures!$I$10*10^-6</f>
        <v>0</v>
      </c>
      <c r="K50" s="284">
        <f>U10*BalancingMeasures!$J$9/1000</f>
        <v>0</v>
      </c>
      <c r="L50" s="284">
        <f t="shared" si="8"/>
        <v>4145.1802845836428</v>
      </c>
      <c r="M50" s="287">
        <f>Inputs_SupplyCurve!I11</f>
        <v>0</v>
      </c>
      <c r="N50" s="284">
        <f>Inputs_SupplyCurve!J11</f>
        <v>0</v>
      </c>
      <c r="O50" s="284"/>
      <c r="P50" s="19">
        <f t="shared" si="9"/>
        <v>0</v>
      </c>
      <c r="Q50" s="290">
        <f>L50-S1_BaseRefNGNoHydro!L50+P50</f>
        <v>59.305208492921793</v>
      </c>
      <c r="R50" s="83"/>
    </row>
    <row r="51" spans="2:18" x14ac:dyDescent="0.35">
      <c r="B51" s="10">
        <v>2018</v>
      </c>
      <c r="C51" s="287">
        <f>(C32+SUM(D32:E32))*RefTables!$G192</f>
        <v>1116.585969414366</v>
      </c>
      <c r="D51" s="284">
        <f>Inputs_SupplyCurve!H12</f>
        <v>198.9677444287926</v>
      </c>
      <c r="E51" s="284">
        <f>Inputs_SupplyCurve!K12</f>
        <v>694.85393021720154</v>
      </c>
      <c r="F51" s="284">
        <f>Inputs_SupplyCurve!L12</f>
        <v>0</v>
      </c>
      <c r="G51" s="284">
        <f>SUMIFS(PriceSpikes!$N$7:$N$198,PriceSpikes!$B$7:$B$198,B51)</f>
        <v>0</v>
      </c>
      <c r="H51" s="284">
        <f>BalancingMeasures!$M$15*S11*10^-6</f>
        <v>0</v>
      </c>
      <c r="I51" s="284">
        <f>Inputs_AnnualElectric!N19</f>
        <v>2210.0985926641379</v>
      </c>
      <c r="J51" s="284">
        <f>T11*BalancingMeasures!$I$10*10^-6</f>
        <v>0</v>
      </c>
      <c r="K51" s="284">
        <f>U11*BalancingMeasures!$J$9/1000</f>
        <v>0</v>
      </c>
      <c r="L51" s="284">
        <f t="shared" si="8"/>
        <v>4220.5062367244982</v>
      </c>
      <c r="M51" s="287">
        <f>Inputs_SupplyCurve!I12</f>
        <v>0</v>
      </c>
      <c r="N51" s="284">
        <f>Inputs_SupplyCurve!J12</f>
        <v>0</v>
      </c>
      <c r="O51" s="284">
        <f>RefTables!$F$261</f>
        <v>128.79556296307061</v>
      </c>
      <c r="P51" s="19">
        <f t="shared" si="9"/>
        <v>128.79556296307061</v>
      </c>
      <c r="Q51" s="290">
        <f>L51-S1_BaseRefNGNoHydro!L51+P51</f>
        <v>48.655089521142202</v>
      </c>
      <c r="R51" s="83"/>
    </row>
    <row r="52" spans="2:18" x14ac:dyDescent="0.35">
      <c r="B52" s="10">
        <v>2019</v>
      </c>
      <c r="C52" s="287">
        <f>(C33+SUM(D33:E33))*RefTables!$G193</f>
        <v>1085.0984951626006</v>
      </c>
      <c r="D52" s="284">
        <f>Inputs_SupplyCurve!H13</f>
        <v>214.92552307387393</v>
      </c>
      <c r="E52" s="284">
        <f>Inputs_SupplyCurve!K13</f>
        <v>737.26790181654087</v>
      </c>
      <c r="F52" s="284">
        <f>Inputs_SupplyCurve!L13</f>
        <v>0</v>
      </c>
      <c r="G52" s="284">
        <f>SUMIFS(PriceSpikes!$N$7:$N$198,PriceSpikes!$B$7:$B$198,B52)</f>
        <v>0</v>
      </c>
      <c r="H52" s="284">
        <f>BalancingMeasures!$M$15*S12*10^-6</f>
        <v>0</v>
      </c>
      <c r="I52" s="284">
        <f>Inputs_AnnualElectric!N20</f>
        <v>2192.0652354277699</v>
      </c>
      <c r="J52" s="284">
        <f>T12*BalancingMeasures!$I$10*10^-6</f>
        <v>0</v>
      </c>
      <c r="K52" s="284">
        <f>U12*BalancingMeasures!$J$9/1000</f>
        <v>0</v>
      </c>
      <c r="L52" s="284">
        <f t="shared" si="8"/>
        <v>4229.3571554807859</v>
      </c>
      <c r="M52" s="287">
        <f>Inputs_SupplyCurve!I13</f>
        <v>0</v>
      </c>
      <c r="N52" s="284">
        <f>Inputs_SupplyCurve!J13</f>
        <v>0</v>
      </c>
      <c r="O52" s="284">
        <f>RefTables!$F$261</f>
        <v>128.79556296307061</v>
      </c>
      <c r="P52" s="19">
        <f t="shared" si="9"/>
        <v>128.79556296307061</v>
      </c>
      <c r="Q52" s="290">
        <f>L52-S1_BaseRefNGNoHydro!L52+P52</f>
        <v>48.832277806222976</v>
      </c>
      <c r="R52" s="83"/>
    </row>
    <row r="53" spans="2:18" x14ac:dyDescent="0.35">
      <c r="B53" s="10">
        <v>2020</v>
      </c>
      <c r="C53" s="287">
        <f>(C34+SUM(D34:E34))*RefTables!$G194</f>
        <v>1012.8913287739057</v>
      </c>
      <c r="D53" s="284">
        <f>Inputs_SupplyCurve!H14</f>
        <v>231.85768764325491</v>
      </c>
      <c r="E53" s="284">
        <f>Inputs_SupplyCurve!K14</f>
        <v>775.41497120454073</v>
      </c>
      <c r="F53" s="284">
        <f>Inputs_SupplyCurve!L14</f>
        <v>0</v>
      </c>
      <c r="G53" s="284">
        <f>SUMIFS(PriceSpikes!$N$7:$N$198,PriceSpikes!$B$7:$B$198,B53)</f>
        <v>-3478.935003734111</v>
      </c>
      <c r="H53" s="284">
        <f>BalancingMeasures!$M$15*S13*10^-6</f>
        <v>39.752446811392026</v>
      </c>
      <c r="I53" s="284">
        <f>Inputs_AnnualElectric!N21</f>
        <v>1988.8573947366281</v>
      </c>
      <c r="J53" s="284">
        <f>T13*BalancingMeasures!$I$10*10^-6</f>
        <v>0</v>
      </c>
      <c r="K53" s="284">
        <f>U13*BalancingMeasures!$J$9/1000</f>
        <v>0</v>
      </c>
      <c r="L53" s="284">
        <f t="shared" si="8"/>
        <v>569.83882543561049</v>
      </c>
      <c r="M53" s="287">
        <f>Inputs_SupplyCurve!I14</f>
        <v>0</v>
      </c>
      <c r="N53" s="284">
        <f>Inputs_SupplyCurve!J14</f>
        <v>0</v>
      </c>
      <c r="O53" s="284">
        <f>RefTables!$F$261</f>
        <v>128.79556296307061</v>
      </c>
      <c r="P53" s="19">
        <f t="shared" si="9"/>
        <v>128.79556296307061</v>
      </c>
      <c r="Q53" s="290">
        <f>L53-S1_BaseRefNGNoHydro!L53+P53</f>
        <v>28.968761360568408</v>
      </c>
      <c r="R53" s="83"/>
    </row>
    <row r="54" spans="2:18" x14ac:dyDescent="0.35">
      <c r="B54" s="10">
        <v>2021</v>
      </c>
      <c r="C54" s="287">
        <f>(C35+SUM(D35:E35))*RefTables!$G195</f>
        <v>1068.9978977048961</v>
      </c>
      <c r="D54" s="284">
        <f>Inputs_SupplyCurve!H15</f>
        <v>243.54789353844251</v>
      </c>
      <c r="E54" s="284">
        <f>Inputs_SupplyCurve!K15</f>
        <v>810.82718747828085</v>
      </c>
      <c r="F54" s="284">
        <f>Inputs_SupplyCurve!L15</f>
        <v>0</v>
      </c>
      <c r="G54" s="284">
        <f>SUMIFS(PriceSpikes!$N$7:$N$198,PriceSpikes!$B$7:$B$198,B54)</f>
        <v>-3430.4046115732012</v>
      </c>
      <c r="H54" s="284">
        <f>BalancingMeasures!$M$15*S14*10^-6</f>
        <v>39.752446811392026</v>
      </c>
      <c r="I54" s="284">
        <f>Inputs_AnnualElectric!N22</f>
        <v>2013.7996434693066</v>
      </c>
      <c r="J54" s="284">
        <f>T14*BalancingMeasures!$I$10*10^-6</f>
        <v>0</v>
      </c>
      <c r="K54" s="284">
        <f>U14*BalancingMeasures!$J$9/1000</f>
        <v>0</v>
      </c>
      <c r="L54" s="284">
        <f t="shared" si="8"/>
        <v>746.52045742911673</v>
      </c>
      <c r="M54" s="287">
        <f>Inputs_SupplyCurve!I15</f>
        <v>0</v>
      </c>
      <c r="N54" s="284">
        <f>Inputs_SupplyCurve!J15</f>
        <v>0</v>
      </c>
      <c r="O54" s="284">
        <f>RefTables!$F$261</f>
        <v>128.79556296307061</v>
      </c>
      <c r="P54" s="19">
        <f t="shared" si="9"/>
        <v>128.79556296307061</v>
      </c>
      <c r="Q54" s="290">
        <f>L54-S1_BaseRefNGNoHydro!L54+P54</f>
        <v>15.759541778013784</v>
      </c>
      <c r="R54" s="83"/>
    </row>
    <row r="55" spans="2:18" x14ac:dyDescent="0.35">
      <c r="B55" s="10">
        <v>2022</v>
      </c>
      <c r="C55" s="287">
        <f>(C36+SUM(D36:E36))*RefTables!$G196</f>
        <v>1097.784121145035</v>
      </c>
      <c r="D55" s="284">
        <f>Inputs_SupplyCurve!H16</f>
        <v>253.2699316532761</v>
      </c>
      <c r="E55" s="284">
        <f>Inputs_SupplyCurve!K16</f>
        <v>843.92849446737682</v>
      </c>
      <c r="F55" s="284">
        <f>Inputs_SupplyCurve!L16</f>
        <v>0</v>
      </c>
      <c r="G55" s="284">
        <f>SUMIFS(PriceSpikes!$N$7:$N$198,PriceSpikes!$B$7:$B$198,B55)</f>
        <v>-3320.5341820563826</v>
      </c>
      <c r="H55" s="284">
        <f>BalancingMeasures!$M$15*S15*10^-6</f>
        <v>39.752446811392026</v>
      </c>
      <c r="I55" s="284">
        <f>Inputs_AnnualElectric!N23</f>
        <v>1999.827307239434</v>
      </c>
      <c r="J55" s="284">
        <f>T15*BalancingMeasures!$I$10*10^-6</f>
        <v>0</v>
      </c>
      <c r="K55" s="284">
        <f>U15*BalancingMeasures!$J$9/1000</f>
        <v>0</v>
      </c>
      <c r="L55" s="284">
        <f t="shared" si="8"/>
        <v>914.02811926013146</v>
      </c>
      <c r="M55" s="287">
        <f>Inputs_SupplyCurve!I16</f>
        <v>0</v>
      </c>
      <c r="N55" s="284">
        <f>Inputs_SupplyCurve!J16</f>
        <v>0</v>
      </c>
      <c r="O55" s="284">
        <f>RefTables!$F$261+RefTables!$F$262</f>
        <v>317.69572197557414</v>
      </c>
      <c r="P55" s="19">
        <f t="shared" si="9"/>
        <v>317.69572197557414</v>
      </c>
      <c r="Q55" s="290">
        <f>L55-S1_BaseRefNGNoHydro!L55+P55</f>
        <v>113.78860360374853</v>
      </c>
      <c r="R55" s="83"/>
    </row>
    <row r="56" spans="2:18" x14ac:dyDescent="0.35">
      <c r="B56" s="10">
        <v>2023</v>
      </c>
      <c r="C56" s="287">
        <f>(C37+SUM(D37:E37))*RefTables!$G197</f>
        <v>1125.49851472866</v>
      </c>
      <c r="D56" s="284">
        <f>Inputs_SupplyCurve!H17</f>
        <v>256.83105657853571</v>
      </c>
      <c r="E56" s="284">
        <f>Inputs_SupplyCurve!K17</f>
        <v>874.35589254029105</v>
      </c>
      <c r="F56" s="284">
        <f>Inputs_SupplyCurve!L17</f>
        <v>0</v>
      </c>
      <c r="G56" s="284">
        <f>SUMIFS(PriceSpikes!$N$7:$N$198,PriceSpikes!$B$7:$B$198,B56)</f>
        <v>-3326.6961369673627</v>
      </c>
      <c r="H56" s="284">
        <f>BalancingMeasures!$M$15*S16*10^-6</f>
        <v>39.752446811392026</v>
      </c>
      <c r="I56" s="284">
        <f>Inputs_AnnualElectric!N24</f>
        <v>2076.3436372251585</v>
      </c>
      <c r="J56" s="284">
        <f>T16*BalancingMeasures!$I$10*10^-6</f>
        <v>0</v>
      </c>
      <c r="K56" s="284">
        <f>U16*BalancingMeasures!$J$9/1000</f>
        <v>0</v>
      </c>
      <c r="L56" s="284">
        <f t="shared" si="8"/>
        <v>1046.0854109166748</v>
      </c>
      <c r="M56" s="287">
        <f>Inputs_SupplyCurve!I17</f>
        <v>0</v>
      </c>
      <c r="N56" s="284">
        <f>Inputs_SupplyCurve!J17</f>
        <v>0</v>
      </c>
      <c r="O56" s="284">
        <f>RefTables!$F$261+RefTables!$F$262</f>
        <v>317.69572197557414</v>
      </c>
      <c r="P56" s="19">
        <f t="shared" si="9"/>
        <v>317.69572197557414</v>
      </c>
      <c r="Q56" s="290">
        <f>L56-S1_BaseRefNGNoHydro!L56+P56</f>
        <v>106.91150899115297</v>
      </c>
      <c r="R56" s="83"/>
    </row>
    <row r="57" spans="2:18" x14ac:dyDescent="0.35">
      <c r="B57" s="10">
        <v>2024</v>
      </c>
      <c r="C57" s="287">
        <f>(C38+SUM(D38:E38))*RefTables!$G198</f>
        <v>1162.2952565614569</v>
      </c>
      <c r="D57" s="284">
        <f>Inputs_SupplyCurve!H18</f>
        <v>263.02625287481254</v>
      </c>
      <c r="E57" s="284">
        <f>Inputs_SupplyCurve!K18</f>
        <v>900.95296614242363</v>
      </c>
      <c r="F57" s="284">
        <f>Inputs_SupplyCurve!L18</f>
        <v>0</v>
      </c>
      <c r="G57" s="284">
        <f>SUMIFS(PriceSpikes!$N$7:$N$198,PriceSpikes!$B$7:$B$198,B57)</f>
        <v>-3481.1248105583081</v>
      </c>
      <c r="H57" s="284">
        <f>BalancingMeasures!$M$15*S17*10^-6</f>
        <v>39.752446811392026</v>
      </c>
      <c r="I57" s="284">
        <f>Inputs_AnnualElectric!N25</f>
        <v>2115.8989524985445</v>
      </c>
      <c r="J57" s="284">
        <f>T17*BalancingMeasures!$I$10*10^-6</f>
        <v>0</v>
      </c>
      <c r="K57" s="284">
        <f>U17*BalancingMeasures!$J$9/1000</f>
        <v>0</v>
      </c>
      <c r="L57" s="284">
        <f t="shared" si="8"/>
        <v>1000.8010643303214</v>
      </c>
      <c r="M57" s="287">
        <f>Inputs_SupplyCurve!I18</f>
        <v>0</v>
      </c>
      <c r="N57" s="284">
        <f>Inputs_SupplyCurve!J18</f>
        <v>0</v>
      </c>
      <c r="O57" s="284">
        <f>RefTables!$F$261+RefTables!$F$262</f>
        <v>317.69572197557414</v>
      </c>
      <c r="P57" s="19">
        <f t="shared" si="9"/>
        <v>317.69572197557414</v>
      </c>
      <c r="Q57" s="290">
        <f>L57-S1_BaseRefNGNoHydro!L57+P57</f>
        <v>99.154939638227972</v>
      </c>
      <c r="R57" s="83"/>
    </row>
    <row r="58" spans="2:18" x14ac:dyDescent="0.35">
      <c r="B58" s="10">
        <v>2025</v>
      </c>
      <c r="C58" s="287">
        <f>(C39+SUM(D39:E39))*RefTables!$G199</f>
        <v>1179.6405349758677</v>
      </c>
      <c r="D58" s="284">
        <f>Inputs_SupplyCurve!H19</f>
        <v>268.62222782421975</v>
      </c>
      <c r="E58" s="284">
        <f>Inputs_SupplyCurve!K19</f>
        <v>923.22485013311757</v>
      </c>
      <c r="F58" s="284">
        <f>Inputs_SupplyCurve!L19</f>
        <v>97.003539999999987</v>
      </c>
      <c r="G58" s="284">
        <f>SUMIFS(PriceSpikes!$N$7:$N$198,PriceSpikes!$B$7:$B$198,B58)</f>
        <v>-3440.0273792678959</v>
      </c>
      <c r="H58" s="284">
        <f>BalancingMeasures!$M$15*S18*10^-6</f>
        <v>39.752446811392026</v>
      </c>
      <c r="I58" s="284">
        <f>Inputs_AnnualElectric!N26</f>
        <v>2177.2266851484519</v>
      </c>
      <c r="J58" s="284">
        <f>T18*BalancingMeasures!$I$10*10^-6</f>
        <v>0</v>
      </c>
      <c r="K58" s="284">
        <f>U18*BalancingMeasures!$J$9/1000</f>
        <v>0</v>
      </c>
      <c r="L58" s="284">
        <f t="shared" si="8"/>
        <v>1245.4429056251533</v>
      </c>
      <c r="M58" s="287">
        <f>Inputs_SupplyCurve!I19</f>
        <v>0</v>
      </c>
      <c r="N58" s="284">
        <f>Inputs_SupplyCurve!J19</f>
        <v>0</v>
      </c>
      <c r="O58" s="284">
        <f>RefTables!$F$261+RefTables!$F$262</f>
        <v>317.69572197557414</v>
      </c>
      <c r="P58" s="19">
        <f t="shared" si="9"/>
        <v>317.69572197557414</v>
      </c>
      <c r="Q58" s="290">
        <f>L58-S1_BaseRefNGNoHydro!L58+P58</f>
        <v>91.862472687261345</v>
      </c>
      <c r="R58" s="83"/>
    </row>
    <row r="59" spans="2:18" x14ac:dyDescent="0.35">
      <c r="B59" s="10">
        <v>2026</v>
      </c>
      <c r="C59" s="287">
        <f>(C40+SUM(D40:E40))*RefTables!$G200</f>
        <v>1204.6255463460377</v>
      </c>
      <c r="D59" s="284">
        <f>Inputs_SupplyCurve!H20</f>
        <v>273.62999673558346</v>
      </c>
      <c r="E59" s="284">
        <f>Inputs_SupplyCurve!K20</f>
        <v>942.80020728443492</v>
      </c>
      <c r="F59" s="284">
        <f>Inputs_SupplyCurve!L20</f>
        <v>0</v>
      </c>
      <c r="G59" s="284">
        <f>SUMIFS(PriceSpikes!$N$7:$N$198,PriceSpikes!$B$7:$B$198,B59)</f>
        <v>-3459.7462355513067</v>
      </c>
      <c r="H59" s="284">
        <f>BalancingMeasures!$M$15*S19*10^-6</f>
        <v>39.752446811392026</v>
      </c>
      <c r="I59" s="284">
        <f>Inputs_AnnualElectric!N27</f>
        <v>2249.662798500698</v>
      </c>
      <c r="J59" s="284">
        <f>T19*BalancingMeasures!$I$10*10^-6</f>
        <v>0</v>
      </c>
      <c r="K59" s="284">
        <f>U19*BalancingMeasures!$J$9/1000</f>
        <v>0</v>
      </c>
      <c r="L59" s="284">
        <f t="shared" si="8"/>
        <v>1250.7247601268396</v>
      </c>
      <c r="M59" s="287">
        <f>Inputs_SupplyCurve!I20</f>
        <v>0</v>
      </c>
      <c r="N59" s="284">
        <f>Inputs_SupplyCurve!J20</f>
        <v>0</v>
      </c>
      <c r="O59" s="284">
        <f>RefTables!$F$261+RefTables!$F$262</f>
        <v>317.69572197557414</v>
      </c>
      <c r="P59" s="19">
        <f t="shared" si="9"/>
        <v>317.69572197557414</v>
      </c>
      <c r="Q59" s="290">
        <f>L59-S1_BaseRefNGNoHydro!L59+P59</f>
        <v>83.682373917256484</v>
      </c>
      <c r="R59" s="83"/>
    </row>
    <row r="60" spans="2:18" x14ac:dyDescent="0.35">
      <c r="B60" s="10">
        <v>2027</v>
      </c>
      <c r="C60" s="287">
        <f>(C41+SUM(D41:E41))*RefTables!$G201</f>
        <v>1231.0897290165635</v>
      </c>
      <c r="D60" s="284">
        <f>Inputs_SupplyCurve!H21</f>
        <v>277.25964359835592</v>
      </c>
      <c r="E60" s="284">
        <f>Inputs_SupplyCurve!K21</f>
        <v>961.46180313298669</v>
      </c>
      <c r="F60" s="284">
        <f>Inputs_SupplyCurve!L21</f>
        <v>0</v>
      </c>
      <c r="G60" s="284">
        <f>SUMIFS(PriceSpikes!$N$7:$N$198,PriceSpikes!$B$7:$B$198,B60)</f>
        <v>-3477.4368437049698</v>
      </c>
      <c r="H60" s="284">
        <f>BalancingMeasures!$M$15*S20*10^-6</f>
        <v>39.752446811392026</v>
      </c>
      <c r="I60" s="284">
        <f>Inputs_AnnualElectric!N28</f>
        <v>2306.5649624362181</v>
      </c>
      <c r="J60" s="284">
        <f>T20*BalancingMeasures!$I$10*10^-6</f>
        <v>0</v>
      </c>
      <c r="K60" s="284">
        <f>U20*BalancingMeasures!$J$9/1000</f>
        <v>0</v>
      </c>
      <c r="L60" s="284">
        <f t="shared" si="8"/>
        <v>1338.6917412905468</v>
      </c>
      <c r="M60" s="287">
        <f>Inputs_SupplyCurve!I21</f>
        <v>0</v>
      </c>
      <c r="N60" s="284">
        <f>Inputs_SupplyCurve!J21</f>
        <v>0</v>
      </c>
      <c r="O60" s="284">
        <f>RefTables!$F$261+RefTables!$F$262</f>
        <v>317.69572197557414</v>
      </c>
      <c r="P60" s="19">
        <f t="shared" si="9"/>
        <v>317.69572197557414</v>
      </c>
      <c r="Q60" s="290">
        <f>L60-S1_BaseRefNGNoHydro!L60+P60</f>
        <v>78.238094551876259</v>
      </c>
      <c r="R60" s="83"/>
    </row>
    <row r="61" spans="2:18" x14ac:dyDescent="0.35">
      <c r="B61" s="10">
        <v>2028</v>
      </c>
      <c r="C61" s="287">
        <f>(C42+SUM(D42:E42))*RefTables!$G202</f>
        <v>1257.8182258113948</v>
      </c>
      <c r="D61" s="284">
        <f>Inputs_SupplyCurve!H22</f>
        <v>280.58520053344989</v>
      </c>
      <c r="E61" s="284">
        <f>Inputs_SupplyCurve!K22</f>
        <v>973.06947549900337</v>
      </c>
      <c r="F61" s="284">
        <f>Inputs_SupplyCurve!L22</f>
        <v>0</v>
      </c>
      <c r="G61" s="284">
        <f>SUMIFS(PriceSpikes!$N$7:$N$198,PriceSpikes!$B$7:$B$198,B61)</f>
        <v>-3578.5774524857043</v>
      </c>
      <c r="H61" s="284">
        <f>BalancingMeasures!$M$15*S21*10^-6</f>
        <v>39.752446811392026</v>
      </c>
      <c r="I61" s="284">
        <f>Inputs_AnnualElectric!N29</f>
        <v>2404.0220149350703</v>
      </c>
      <c r="J61" s="284">
        <f>T21*BalancingMeasures!$I$10*10^-6</f>
        <v>0</v>
      </c>
      <c r="K61" s="284">
        <f>U21*BalancingMeasures!$J$9/1000</f>
        <v>0</v>
      </c>
      <c r="L61" s="284">
        <f t="shared" si="8"/>
        <v>1376.6699111046064</v>
      </c>
      <c r="M61" s="287">
        <f>Inputs_SupplyCurve!I22</f>
        <v>0</v>
      </c>
      <c r="N61" s="284">
        <f>Inputs_SupplyCurve!J22</f>
        <v>0</v>
      </c>
      <c r="O61" s="284">
        <f>RefTables!$F$261+RefTables!$F$262</f>
        <v>317.69572197557414</v>
      </c>
      <c r="P61" s="19">
        <f t="shared" si="9"/>
        <v>317.69572197557414</v>
      </c>
      <c r="Q61" s="290">
        <f>L61-S1_BaseRefNGNoHydro!L61+P61</f>
        <v>63.954135778290095</v>
      </c>
      <c r="R61" s="83"/>
    </row>
    <row r="62" spans="2:18" x14ac:dyDescent="0.35">
      <c r="B62" s="10">
        <v>2029</v>
      </c>
      <c r="C62" s="287">
        <f>(C43+SUM(D43:E43))*RefTables!$G203</f>
        <v>1292.774634289445</v>
      </c>
      <c r="D62" s="284">
        <f>Inputs_SupplyCurve!H23</f>
        <v>282.67154503592951</v>
      </c>
      <c r="E62" s="284">
        <f>Inputs_SupplyCurve!K23</f>
        <v>984.44937356577873</v>
      </c>
      <c r="F62" s="284">
        <f>Inputs_SupplyCurve!L23</f>
        <v>0</v>
      </c>
      <c r="G62" s="284">
        <f>SUMIFS(PriceSpikes!$N$7:$N$198,PriceSpikes!$B$7:$B$198,B62)</f>
        <v>-3597.4172412566404</v>
      </c>
      <c r="H62" s="284">
        <f>BalancingMeasures!$M$15*S22*10^-6</f>
        <v>39.752446811392026</v>
      </c>
      <c r="I62" s="284">
        <f>Inputs_AnnualElectric!N30</f>
        <v>2519.7181887219303</v>
      </c>
      <c r="J62" s="284">
        <f>T22*BalancingMeasures!$I$10*10^-6</f>
        <v>0</v>
      </c>
      <c r="K62" s="284">
        <f>U22*BalancingMeasures!$J$9/1000</f>
        <v>0</v>
      </c>
      <c r="L62" s="284">
        <f t="shared" si="8"/>
        <v>1521.9489471678353</v>
      </c>
      <c r="M62" s="287">
        <f>Inputs_SupplyCurve!I23</f>
        <v>0</v>
      </c>
      <c r="N62" s="284">
        <f>Inputs_SupplyCurve!J23</f>
        <v>0</v>
      </c>
      <c r="O62" s="284">
        <f>RefTables!$F$261+RefTables!$F$262</f>
        <v>317.69572197557414</v>
      </c>
      <c r="P62" s="19">
        <f t="shared" si="9"/>
        <v>317.69572197557414</v>
      </c>
      <c r="Q62" s="290">
        <f>L62-S1_BaseRefNGNoHydro!L62+P62</f>
        <v>59.773090468466819</v>
      </c>
      <c r="R62" s="83"/>
    </row>
    <row r="63" spans="2:18" ht="18" thickBot="1" x14ac:dyDescent="0.4">
      <c r="B63" s="11">
        <v>2030</v>
      </c>
      <c r="C63" s="288">
        <f>(C44+SUM(D44:E44))*RefTables!$G204</f>
        <v>1350.2784821542507</v>
      </c>
      <c r="D63" s="285">
        <f>Inputs_SupplyCurve!H24</f>
        <v>284.14981944616545</v>
      </c>
      <c r="E63" s="285">
        <f>Inputs_SupplyCurve!K24</f>
        <v>996.63079163297505</v>
      </c>
      <c r="F63" s="285">
        <f>Inputs_SupplyCurve!L24</f>
        <v>0</v>
      </c>
      <c r="G63" s="285">
        <f>SUMIFS(PriceSpikes!$N$7:$N$198,PriceSpikes!$B$7:$B$198,B63)</f>
        <v>-3574.708828957886</v>
      </c>
      <c r="H63" s="285">
        <f>BalancingMeasures!$M$15*S23*10^-6</f>
        <v>39.752446811392026</v>
      </c>
      <c r="I63" s="285">
        <f>Inputs_AnnualElectric!N31</f>
        <v>2589.2444637049443</v>
      </c>
      <c r="J63" s="285">
        <f>T23*BalancingMeasures!$I$10*10^-6</f>
        <v>0</v>
      </c>
      <c r="K63" s="285">
        <f>U23*BalancingMeasures!$J$9/1000</f>
        <v>0</v>
      </c>
      <c r="L63" s="285">
        <f t="shared" si="8"/>
        <v>1685.3471747918416</v>
      </c>
      <c r="M63" s="288">
        <f>Inputs_SupplyCurve!I24</f>
        <v>0</v>
      </c>
      <c r="N63" s="285">
        <f>Inputs_SupplyCurve!J24</f>
        <v>0</v>
      </c>
      <c r="O63" s="285">
        <f>RefTables!$F$261+RefTables!$F$262</f>
        <v>317.69572197557414</v>
      </c>
      <c r="P63" s="20">
        <f t="shared" si="9"/>
        <v>317.69572197557414</v>
      </c>
      <c r="Q63" s="291">
        <f>L63-S1_BaseRefNGNoHydro!L63+P63</f>
        <v>47.077430048090321</v>
      </c>
      <c r="R63" s="83"/>
    </row>
    <row r="64" spans="2:18" x14ac:dyDescent="0.35">
      <c r="B64" s="76"/>
      <c r="D64" s="184"/>
    </row>
  </sheetData>
  <mergeCells count="22">
    <mergeCell ref="B46:B47"/>
    <mergeCell ref="C46:L46"/>
    <mergeCell ref="M46:P46"/>
    <mergeCell ref="Q46:Q47"/>
    <mergeCell ref="B27:B28"/>
    <mergeCell ref="C27:E27"/>
    <mergeCell ref="J27:J28"/>
    <mergeCell ref="K27:M27"/>
    <mergeCell ref="Q27:R27"/>
    <mergeCell ref="B4:R4"/>
    <mergeCell ref="H27:H28"/>
    <mergeCell ref="P27:P28"/>
    <mergeCell ref="F27:G27"/>
    <mergeCell ref="N27:O27"/>
    <mergeCell ref="B25:R25"/>
    <mergeCell ref="C6:E6"/>
    <mergeCell ref="F6:G6"/>
    <mergeCell ref="Q6:R6"/>
    <mergeCell ref="H6:I6"/>
    <mergeCell ref="J6:K6"/>
    <mergeCell ref="L6:P6"/>
    <mergeCell ref="B6:B7"/>
  </mergeCells>
  <conditionalFormatting sqref="Q8:Q23">
    <cfRule type="expression" dxfId="20" priority="2">
      <formula>R8&lt;=95%</formula>
    </cfRule>
  </conditionalFormatting>
  <conditionalFormatting sqref="H8:H23">
    <cfRule type="expression" dxfId="19" priority="4">
      <formula>I8&lt;=95%</formula>
    </cfRule>
  </conditionalFormatting>
  <conditionalFormatting sqref="R34 R44 P34">
    <cfRule type="expression" dxfId="18" priority="1">
      <formula>$P$34&lt;=#REF!</formula>
    </cfRule>
  </conditionalFormatting>
  <conditionalFormatting sqref="P44">
    <cfRule type="expression" dxfId="17" priority="84">
      <formula>$P$44&lt;=#REF!</formula>
    </cfRule>
  </conditionalFormatting>
  <pageMargins left="0.7" right="0.7" top="0.75" bottom="0.75" header="0.3" footer="0.3"/>
  <pageSetup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B2:Z64"/>
  <sheetViews>
    <sheetView showGridLines="0" view="pageBreakPreview" zoomScale="70" zoomScaleNormal="70" zoomScaleSheetLayoutView="70" workbookViewId="0">
      <pane ySplit="4" topLeftCell="A20" activePane="bottomLeft" state="frozen"/>
      <selection activeCell="X23" sqref="X23"/>
      <selection pane="bottomLeft" activeCell="X23" sqref="X23"/>
    </sheetView>
  </sheetViews>
  <sheetFormatPr defaultRowHeight="17.25" x14ac:dyDescent="0.35"/>
  <cols>
    <col min="1" max="1" width="2.375" customWidth="1"/>
    <col min="2" max="18" width="13.375" customWidth="1"/>
    <col min="19" max="19" width="11.25" customWidth="1"/>
    <col min="20" max="23" width="10.125" customWidth="1"/>
    <col min="26" max="26" width="10.625" bestFit="1" customWidth="1"/>
    <col min="27" max="27" width="10.25" customWidth="1"/>
    <col min="28" max="28" width="10.625" customWidth="1"/>
  </cols>
  <sheetData>
    <row r="2" spans="2:26" ht="30.75" x14ac:dyDescent="0.6">
      <c r="B2" s="1" t="s">
        <v>466</v>
      </c>
      <c r="R2" s="362" t="str">
        <f>IF(SUM($P$8:$P$23)&lt;&gt;0,"This scenario requires a pipeline.","This scenario does not require a pipeline.")</f>
        <v>This scenario requires a pipeline.</v>
      </c>
      <c r="X2" s="195"/>
      <c r="Y2" s="193">
        <v>5.6000000000000001E-2</v>
      </c>
      <c r="Z2" s="194" t="e">
        <f>Y2/X2</f>
        <v>#DIV/0!</v>
      </c>
    </row>
    <row r="4" spans="2:26" ht="21.75" x14ac:dyDescent="0.45">
      <c r="B4" s="432" t="s">
        <v>0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</row>
    <row r="5" spans="2:26" ht="18" thickBot="1" x14ac:dyDescent="0.4">
      <c r="B5" s="2"/>
      <c r="C5" s="75"/>
      <c r="D5" s="184"/>
      <c r="E5" s="184"/>
      <c r="F5" s="184"/>
      <c r="G5" s="184"/>
      <c r="H5" s="184"/>
      <c r="I5" s="184"/>
      <c r="J5" s="184"/>
      <c r="K5" s="184"/>
      <c r="L5" s="184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6" ht="19.5" customHeight="1" x14ac:dyDescent="0.4">
      <c r="B6" s="458" t="s">
        <v>548</v>
      </c>
      <c r="C6" s="446" t="s">
        <v>435</v>
      </c>
      <c r="D6" s="447"/>
      <c r="E6" s="447"/>
      <c r="F6" s="446" t="s">
        <v>550</v>
      </c>
      <c r="G6" s="451"/>
      <c r="H6" s="446" t="s">
        <v>436</v>
      </c>
      <c r="I6" s="447"/>
      <c r="J6" s="446" t="s">
        <v>551</v>
      </c>
      <c r="K6" s="451"/>
      <c r="L6" s="446" t="s">
        <v>557</v>
      </c>
      <c r="M6" s="447"/>
      <c r="N6" s="447"/>
      <c r="O6" s="447"/>
      <c r="P6" s="451"/>
      <c r="Q6" s="462" t="s">
        <v>553</v>
      </c>
      <c r="R6" s="463"/>
    </row>
    <row r="7" spans="2:26" ht="52.5" thickBot="1" x14ac:dyDescent="0.4">
      <c r="B7" s="459"/>
      <c r="C7" s="15" t="s">
        <v>456</v>
      </c>
      <c r="D7" s="16" t="s">
        <v>425</v>
      </c>
      <c r="E7" s="16" t="s">
        <v>20</v>
      </c>
      <c r="F7" s="15" t="s">
        <v>2</v>
      </c>
      <c r="G7" s="16" t="s">
        <v>538</v>
      </c>
      <c r="H7" s="15" t="s">
        <v>457</v>
      </c>
      <c r="I7" s="16" t="s">
        <v>409</v>
      </c>
      <c r="J7" s="15" t="s">
        <v>552</v>
      </c>
      <c r="K7" s="16" t="s">
        <v>267</v>
      </c>
      <c r="L7" s="15" t="s">
        <v>539</v>
      </c>
      <c r="M7" s="16" t="s">
        <v>453</v>
      </c>
      <c r="N7" s="16" t="s">
        <v>107</v>
      </c>
      <c r="O7" s="16" t="s">
        <v>106</v>
      </c>
      <c r="P7" s="17" t="s">
        <v>328</v>
      </c>
      <c r="Q7" s="15" t="s">
        <v>457</v>
      </c>
      <c r="R7" s="240" t="s">
        <v>409</v>
      </c>
      <c r="S7" s="275" t="s">
        <v>465</v>
      </c>
      <c r="T7" s="275" t="s">
        <v>455</v>
      </c>
      <c r="U7" s="275" t="s">
        <v>437</v>
      </c>
      <c r="V7" s="275"/>
      <c r="W7" s="161"/>
      <c r="X7" s="162"/>
      <c r="Z7" s="196"/>
    </row>
    <row r="8" spans="2:26" x14ac:dyDescent="0.35">
      <c r="B8" s="9">
        <v>2015</v>
      </c>
      <c r="C8" s="5">
        <f>RefTables!D23+RefTables!$F$49*RefTables!$F$57/1000</f>
        <v>157.12752906068812</v>
      </c>
      <c r="D8" s="110">
        <f>-Inputs_SupplyCurve!AL29/1000</f>
        <v>-8.0169925080334483</v>
      </c>
      <c r="E8" s="110">
        <f>-(Inputs_SupplyCurve!AM29+Inputs_SupplyCurve!AN29)/1000-RefTables!D284</f>
        <v>-7.1691640119538391</v>
      </c>
      <c r="F8" s="5">
        <f>RefTables!F79/1000</f>
        <v>85.720249999999993</v>
      </c>
      <c r="G8" s="3">
        <f>RefTables!$F$127/1000</f>
        <v>36.795041666666663</v>
      </c>
      <c r="H8" s="237">
        <f t="shared" ref="H8:H23" si="0">SUM(F8:G8)-SUM(C8:E8)</f>
        <v>-19.426080874034199</v>
      </c>
      <c r="I8" s="262">
        <f t="shared" ref="I8:I23" si="1">SUM(C8:E8)/SUM(F8:G8)</f>
        <v>1.158560458941629</v>
      </c>
      <c r="J8" s="342">
        <f>MAX(-H8,0)</f>
        <v>19.426080874034199</v>
      </c>
      <c r="K8" s="345">
        <f>Inputs_JanElectric!G16+UPDATES!J10</f>
        <v>14.10284</v>
      </c>
      <c r="L8" s="5">
        <f>RefTables!$F$126/1000</f>
        <v>18.940624999999997</v>
      </c>
      <c r="M8" s="3">
        <f>RefTables!$F$125/1000</f>
        <v>12.191666666666666</v>
      </c>
      <c r="N8" s="325">
        <f>BalancingMeasures!$N$10*T8</f>
        <v>0.5776</v>
      </c>
      <c r="O8" s="4">
        <f>BalancingMeasures!$N$9*U8</f>
        <v>3.5840000000000001</v>
      </c>
      <c r="P8" s="6"/>
      <c r="Q8" s="241">
        <f t="shared" ref="Q8:Q23" si="2">SUM(L8:P8)-SUM(J8:K8)</f>
        <v>1.764970792632468</v>
      </c>
      <c r="R8" s="242">
        <f t="shared" ref="R8:R23" si="3">SUM(J8:K8)/SUM(L8:P8)</f>
        <v>0.94999217401974989</v>
      </c>
      <c r="S8" s="107"/>
      <c r="T8" s="107">
        <v>760</v>
      </c>
      <c r="U8" s="107">
        <v>3584</v>
      </c>
      <c r="V8" s="107"/>
      <c r="W8" s="158"/>
      <c r="X8" s="159"/>
      <c r="Y8" s="158"/>
      <c r="Z8" s="197"/>
    </row>
    <row r="9" spans="2:26" x14ac:dyDescent="0.35">
      <c r="B9" s="10">
        <v>2016</v>
      </c>
      <c r="C9" s="7">
        <f>RefTables!D24+RefTables!$F$49*RefTables!$F$57/1000</f>
        <v>159.85216975606758</v>
      </c>
      <c r="D9" s="111">
        <f>-Inputs_SupplyCurve!AL30/1000</f>
        <v>-10.495713831921673</v>
      </c>
      <c r="E9" s="111">
        <f>-(Inputs_SupplyCurve!AM30+Inputs_SupplyCurve!AN30)/1000-RefTables!D285</f>
        <v>-8.1933302993758161</v>
      </c>
      <c r="F9" s="7">
        <f>RefTables!$F$80/1000</f>
        <v>99.970249999999993</v>
      </c>
      <c r="G9" s="4">
        <f>RefTables!$F$127/1000</f>
        <v>36.795041666666663</v>
      </c>
      <c r="H9" s="238">
        <f t="shared" si="0"/>
        <v>-4.3978339581034334</v>
      </c>
      <c r="I9" s="263">
        <f t="shared" si="1"/>
        <v>1.032156067555664</v>
      </c>
      <c r="J9" s="343">
        <f t="shared" ref="J9:J23" si="4">MAX(-H9,0)</f>
        <v>4.3978339581034334</v>
      </c>
      <c r="K9" s="346">
        <f>Inputs_JanElectric!G17+UPDATES!J11</f>
        <v>14.099813133333333</v>
      </c>
      <c r="L9" s="7">
        <f>RefTables!$F$126/1000</f>
        <v>18.940624999999997</v>
      </c>
      <c r="M9" s="4">
        <f>RefTables!$F$125/1000</f>
        <v>12.191666666666666</v>
      </c>
      <c r="N9" s="325"/>
      <c r="O9" s="4"/>
      <c r="P9" s="8"/>
      <c r="Q9" s="238">
        <f t="shared" si="2"/>
        <v>12.634644575229895</v>
      </c>
      <c r="R9" s="243">
        <f t="shared" si="3"/>
        <v>0.59416271983736402</v>
      </c>
      <c r="S9" s="107"/>
      <c r="T9" s="107"/>
      <c r="U9" s="107"/>
      <c r="V9" s="107"/>
      <c r="W9" s="158"/>
      <c r="X9" s="159"/>
      <c r="Y9" s="158"/>
      <c r="Z9" s="197"/>
    </row>
    <row r="10" spans="2:26" x14ac:dyDescent="0.35">
      <c r="B10" s="10">
        <v>2017</v>
      </c>
      <c r="C10" s="7">
        <f>RefTables!D25+RefTables!$F$49*RefTables!$F$57/1000</f>
        <v>162.43792427380353</v>
      </c>
      <c r="D10" s="111">
        <f>-Inputs_SupplyCurve!AL31/1000</f>
        <v>-12.588996988686558</v>
      </c>
      <c r="E10" s="111">
        <f>-(Inputs_SupplyCurve!AM31+Inputs_SupplyCurve!AN31)/1000-RefTables!D286</f>
        <v>-9.2174965867977932</v>
      </c>
      <c r="F10" s="7">
        <f>RefTables!$F$80/1000</f>
        <v>99.970249999999993</v>
      </c>
      <c r="G10" s="4">
        <f>RefTables!$F$127/1000</f>
        <v>36.795041666666663</v>
      </c>
      <c r="H10" s="238">
        <f t="shared" si="0"/>
        <v>-3.8661390316525512</v>
      </c>
      <c r="I10" s="263">
        <f t="shared" si="1"/>
        <v>1.0282684223792347</v>
      </c>
      <c r="J10" s="343">
        <f t="shared" si="4"/>
        <v>3.8661390316525512</v>
      </c>
      <c r="K10" s="346">
        <f>Inputs_JanElectric!G18+UPDATES!J12</f>
        <v>12.453016266666667</v>
      </c>
      <c r="L10" s="7">
        <f>RefTables!$F$126/1000</f>
        <v>18.940624999999997</v>
      </c>
      <c r="M10" s="4">
        <f>RefTables!$F$125/1000</f>
        <v>12.191666666666666</v>
      </c>
      <c r="N10" s="325"/>
      <c r="O10" s="4"/>
      <c r="P10" s="8"/>
      <c r="Q10" s="238">
        <f t="shared" si="2"/>
        <v>14.813136368347447</v>
      </c>
      <c r="R10" s="277">
        <f t="shared" si="3"/>
        <v>0.52418740878597547</v>
      </c>
      <c r="S10" s="107"/>
      <c r="T10" s="107"/>
      <c r="U10" s="107"/>
      <c r="V10" s="107"/>
      <c r="W10" s="158"/>
      <c r="X10" s="159"/>
      <c r="Y10" s="158"/>
      <c r="Z10" s="197"/>
    </row>
    <row r="11" spans="2:26" x14ac:dyDescent="0.35">
      <c r="B11" s="10">
        <v>2018</v>
      </c>
      <c r="C11" s="7">
        <f>RefTables!D26+RefTables!$F$49*RefTables!$F$57/1000</f>
        <v>165.218866784326</v>
      </c>
      <c r="D11" s="111">
        <f>-Inputs_SupplyCurve!AL32/1000</f>
        <v>-14.554759197462396</v>
      </c>
      <c r="E11" s="111">
        <f>-(Inputs_SupplyCurve!AM32+Inputs_SupplyCurve!AN32)/1000-RefTables!D287</f>
        <v>-10.24166287421977</v>
      </c>
      <c r="F11" s="7">
        <f>RefTables!$F$80/1000</f>
        <v>99.970249999999993</v>
      </c>
      <c r="G11" s="4">
        <f>RefTables!$F$127/1000</f>
        <v>36.795041666666663</v>
      </c>
      <c r="H11" s="238">
        <f t="shared" si="0"/>
        <v>-3.6571530459771679</v>
      </c>
      <c r="I11" s="263">
        <f t="shared" si="1"/>
        <v>1.0267403593514839</v>
      </c>
      <c r="J11" s="343">
        <f t="shared" si="4"/>
        <v>3.6571530459771679</v>
      </c>
      <c r="K11" s="346">
        <f>Inputs_JanElectric!G19+UPDATES!J13</f>
        <v>22.564089399999997</v>
      </c>
      <c r="L11" s="7">
        <f>RefTables!$F$126/1000</f>
        <v>18.940624999999997</v>
      </c>
      <c r="M11" s="4">
        <f>RefTables!$F$125/1000</f>
        <v>12.191666666666666</v>
      </c>
      <c r="N11" s="325"/>
      <c r="O11" s="4"/>
      <c r="P11" s="8"/>
      <c r="Q11" s="238">
        <f t="shared" si="2"/>
        <v>4.9110492206894989</v>
      </c>
      <c r="R11" s="277">
        <f t="shared" si="3"/>
        <v>0.84225224171506274</v>
      </c>
      <c r="S11" s="107"/>
      <c r="T11" s="107"/>
      <c r="U11" s="107"/>
      <c r="V11" s="107"/>
      <c r="W11" s="158"/>
      <c r="X11" s="159"/>
      <c r="Y11" s="158"/>
      <c r="Z11" s="197"/>
    </row>
    <row r="12" spans="2:26" x14ac:dyDescent="0.35">
      <c r="B12" s="10">
        <v>2019</v>
      </c>
      <c r="C12" s="7">
        <f>RefTables!D27+RefTables!$F$49*RefTables!$F$57/1000</f>
        <v>167.74355386487682</v>
      </c>
      <c r="D12" s="111">
        <f>-Inputs_SupplyCurve!AL33/1000</f>
        <v>-16.523571745239565</v>
      </c>
      <c r="E12" s="111">
        <f>-(Inputs_SupplyCurve!AM33+Inputs_SupplyCurve!AN33)/1000-RefTables!D288</f>
        <v>-11.265829161641747</v>
      </c>
      <c r="F12" s="7">
        <f>RefTables!$F$80/1000</f>
        <v>99.970249999999993</v>
      </c>
      <c r="G12" s="4">
        <f>RefTables!$F$127/1000</f>
        <v>36.795041666666663</v>
      </c>
      <c r="H12" s="238">
        <f t="shared" si="0"/>
        <v>-3.1888612913288625</v>
      </c>
      <c r="I12" s="263">
        <f t="shared" si="1"/>
        <v>1.0233163052735701</v>
      </c>
      <c r="J12" s="343">
        <f t="shared" si="4"/>
        <v>3.1888612913288625</v>
      </c>
      <c r="K12" s="346">
        <f>Inputs_JanElectric!G20+UPDATES!J14</f>
        <v>16.189932533333334</v>
      </c>
      <c r="L12" s="7">
        <f>RefTables!$F$126/1000</f>
        <v>18.940624999999997</v>
      </c>
      <c r="M12" s="4">
        <f>RefTables!$F$125/1000</f>
        <v>12.191666666666666</v>
      </c>
      <c r="N12" s="325"/>
      <c r="O12" s="4"/>
      <c r="P12" s="8"/>
      <c r="Q12" s="238">
        <f t="shared" si="2"/>
        <v>11.753497842004467</v>
      </c>
      <c r="R12" s="243">
        <f t="shared" si="3"/>
        <v>0.62246602441448495</v>
      </c>
      <c r="S12" s="107"/>
      <c r="T12" s="107"/>
      <c r="U12" s="107"/>
      <c r="V12" s="107"/>
      <c r="W12" s="158"/>
      <c r="X12" s="159"/>
      <c r="Y12" s="160"/>
      <c r="Z12" s="158"/>
    </row>
    <row r="13" spans="2:26" x14ac:dyDescent="0.35">
      <c r="B13" s="10">
        <v>2020</v>
      </c>
      <c r="C13" s="7">
        <f>RefTables!D28+RefTables!$F$49*RefTables!$F$57/1000</f>
        <v>168.56469967420119</v>
      </c>
      <c r="D13" s="111">
        <f>-Inputs_SupplyCurve!AL34/1000</f>
        <v>-18.536560434815215</v>
      </c>
      <c r="E13" s="111">
        <f>-(Inputs_SupplyCurve!AM34+Inputs_SupplyCurve!AN34)/1000-RefTables!D289</f>
        <v>-12.289995449063724</v>
      </c>
      <c r="F13" s="7">
        <f>RefTables!$F$80/1000</f>
        <v>99.970249999999993</v>
      </c>
      <c r="G13" s="4">
        <f>RefTables!$F$127/1000</f>
        <v>36.795041666666663</v>
      </c>
      <c r="H13" s="238">
        <f t="shared" si="0"/>
        <v>-0.97285212365559914</v>
      </c>
      <c r="I13" s="263">
        <f t="shared" si="1"/>
        <v>1.0071132968884144</v>
      </c>
      <c r="J13" s="343">
        <f t="shared" si="4"/>
        <v>0.97285212365559914</v>
      </c>
      <c r="K13" s="346">
        <f>Inputs_JanElectric!G21+UPDATES!J15</f>
        <v>53.366185666666667</v>
      </c>
      <c r="L13" s="7">
        <f>RefTables!$F$126/1000</f>
        <v>18.940624999999997</v>
      </c>
      <c r="M13" s="4">
        <f>RefTables!$F$125/1000</f>
        <v>12.191666666666666</v>
      </c>
      <c r="N13" s="4"/>
      <c r="O13" s="4"/>
      <c r="P13" s="8">
        <f>BalancingMeasures!$N$15*$S13</f>
        <v>29.166666666666664</v>
      </c>
      <c r="Q13" s="238">
        <f t="shared" si="2"/>
        <v>5.9599205430110658</v>
      </c>
      <c r="R13" s="243">
        <f t="shared" si="3"/>
        <v>0.90116047262268517</v>
      </c>
      <c r="S13" s="107">
        <v>7</v>
      </c>
      <c r="T13" s="107"/>
      <c r="U13" s="107"/>
      <c r="V13" s="107"/>
      <c r="W13" s="158"/>
      <c r="X13" s="159"/>
      <c r="Y13" s="158"/>
      <c r="Z13" s="158"/>
    </row>
    <row r="14" spans="2:26" x14ac:dyDescent="0.35">
      <c r="B14" s="10">
        <v>2021</v>
      </c>
      <c r="C14" s="7">
        <f>RefTables!D29+RefTables!$F$49*RefTables!$F$57/1000</f>
        <v>169.38995121257219</v>
      </c>
      <c r="D14" s="111">
        <f>-Inputs_SupplyCurve!AL35/1000</f>
        <v>-20.22341347859831</v>
      </c>
      <c r="E14" s="111">
        <f>-(Inputs_SupplyCurve!AM35+Inputs_SupplyCurve!AN35)/1000-RefTables!D290</f>
        <v>-13.127680341605966</v>
      </c>
      <c r="F14" s="7">
        <f>RefTables!$F$80/1000</f>
        <v>99.970249999999993</v>
      </c>
      <c r="G14" s="4">
        <f>RefTables!$F$127/1000</f>
        <v>36.795041666666663</v>
      </c>
      <c r="H14" s="238">
        <f t="shared" si="0"/>
        <v>0.72643427429875373</v>
      </c>
      <c r="I14" s="263">
        <f t="shared" si="1"/>
        <v>0.99468846031441027</v>
      </c>
      <c r="J14" s="343">
        <f t="shared" si="4"/>
        <v>0</v>
      </c>
      <c r="K14" s="346">
        <f>Inputs_JanElectric!G22+UPDATES!J16</f>
        <v>51.100963100000001</v>
      </c>
      <c r="L14" s="7">
        <f>RefTables!$F$126/1000</f>
        <v>18.940624999999997</v>
      </c>
      <c r="M14" s="4">
        <f>RefTables!$F$125/1000</f>
        <v>12.191666666666666</v>
      </c>
      <c r="N14" s="4"/>
      <c r="O14" s="4"/>
      <c r="P14" s="8">
        <f>BalancingMeasures!$N$15*$S14</f>
        <v>29.166666666666664</v>
      </c>
      <c r="Q14" s="238">
        <f t="shared" si="2"/>
        <v>9.1979952333333301</v>
      </c>
      <c r="R14" s="243">
        <f t="shared" si="3"/>
        <v>0.84746013053017089</v>
      </c>
      <c r="S14" s="107">
        <v>7</v>
      </c>
      <c r="T14" s="107"/>
      <c r="U14" s="107"/>
      <c r="V14" s="107"/>
      <c r="W14" s="158"/>
      <c r="X14" s="159"/>
      <c r="Y14" s="158"/>
      <c r="Z14" s="158"/>
    </row>
    <row r="15" spans="2:26" x14ac:dyDescent="0.35">
      <c r="B15" s="10">
        <v>2022</v>
      </c>
      <c r="C15" s="7">
        <f>RefTables!D30+RefTables!$F$49*RefTables!$F$57/1000</f>
        <v>170.21932900863504</v>
      </c>
      <c r="D15" s="111">
        <f>-Inputs_SupplyCurve!AL36/1000</f>
        <v>-21.90951365234281</v>
      </c>
      <c r="E15" s="111">
        <f>-(Inputs_SupplyCurve!AM36+Inputs_SupplyCurve!AN36)/1000-RefTables!D291</f>
        <v>-13.965365234148209</v>
      </c>
      <c r="F15" s="7">
        <f>RefTables!$F$80/1000</f>
        <v>99.970249999999993</v>
      </c>
      <c r="G15" s="4">
        <f>RefTables!$F$127/1000</f>
        <v>36.795041666666663</v>
      </c>
      <c r="H15" s="238">
        <f t="shared" si="0"/>
        <v>2.4208415445226308</v>
      </c>
      <c r="I15" s="263">
        <f t="shared" si="1"/>
        <v>0.98229929893014911</v>
      </c>
      <c r="J15" s="343">
        <f>MAX(-H15,0)</f>
        <v>0</v>
      </c>
      <c r="K15" s="346">
        <f>Inputs_JanElectric!G23+UPDATES!J17</f>
        <v>49.855810533333319</v>
      </c>
      <c r="L15" s="7">
        <f>RefTables!$F$126/1000</f>
        <v>18.940624999999997</v>
      </c>
      <c r="M15" s="4">
        <f>RefTables!$F$125/1000</f>
        <v>12.191666666666666</v>
      </c>
      <c r="N15" s="4"/>
      <c r="O15" s="4"/>
      <c r="P15" s="8">
        <f>BalancingMeasures!$N$15*$S15</f>
        <v>29.166666666666664</v>
      </c>
      <c r="Q15" s="238">
        <f t="shared" si="2"/>
        <v>10.443147800000013</v>
      </c>
      <c r="R15" s="243">
        <f t="shared" si="3"/>
        <v>0.82681047751654069</v>
      </c>
      <c r="S15" s="107">
        <v>7</v>
      </c>
      <c r="T15" s="107"/>
      <c r="U15" s="107"/>
      <c r="V15" s="107"/>
      <c r="W15" s="158"/>
      <c r="X15" s="159"/>
      <c r="Y15" s="158"/>
      <c r="Z15" s="158"/>
    </row>
    <row r="16" spans="2:26" x14ac:dyDescent="0.35">
      <c r="B16" s="10">
        <v>2023</v>
      </c>
      <c r="C16" s="7">
        <f>RefTables!D31+RefTables!$F$49*RefTables!$F$57/1000</f>
        <v>171.0528536936782</v>
      </c>
      <c r="D16" s="111">
        <f>-Inputs_SupplyCurve!AL37/1000</f>
        <v>-23.182898839076685</v>
      </c>
      <c r="E16" s="111">
        <f>-(Inputs_SupplyCurve!AM37+Inputs_SupplyCurve!AN37)/1000-RefTables!D292</f>
        <v>-14.803050126690451</v>
      </c>
      <c r="F16" s="7">
        <f>RefTables!$F$80/1000</f>
        <v>99.970249999999993</v>
      </c>
      <c r="G16" s="4">
        <f>RefTables!$F$127/1000</f>
        <v>36.795041666666663</v>
      </c>
      <c r="H16" s="238">
        <f t="shared" si="0"/>
        <v>3.6983869387555615</v>
      </c>
      <c r="I16" s="263">
        <f t="shared" si="1"/>
        <v>0.97295814680986814</v>
      </c>
      <c r="J16" s="343">
        <f t="shared" si="4"/>
        <v>0</v>
      </c>
      <c r="K16" s="346">
        <f>Inputs_JanElectric!G24+UPDATES!J18</f>
        <v>48.767347966666669</v>
      </c>
      <c r="L16" s="7">
        <f>RefTables!$F$126/1000</f>
        <v>18.940624999999997</v>
      </c>
      <c r="M16" s="4">
        <f>RefTables!$F$125/1000</f>
        <v>12.191666666666666</v>
      </c>
      <c r="N16" s="4"/>
      <c r="O16" s="4"/>
      <c r="P16" s="8">
        <f>BalancingMeasures!$N$15*$S16</f>
        <v>29.166666666666664</v>
      </c>
      <c r="Q16" s="238">
        <f t="shared" si="2"/>
        <v>11.531610366666662</v>
      </c>
      <c r="R16" s="243">
        <f t="shared" si="3"/>
        <v>0.80875937685490706</v>
      </c>
      <c r="S16" s="107">
        <v>7</v>
      </c>
      <c r="T16" s="107"/>
      <c r="U16" s="107"/>
      <c r="V16" s="107"/>
      <c r="W16" s="158"/>
      <c r="X16" s="159"/>
      <c r="Y16" s="158"/>
      <c r="Z16" s="158"/>
    </row>
    <row r="17" spans="2:26" x14ac:dyDescent="0.35">
      <c r="B17" s="10">
        <v>2024</v>
      </c>
      <c r="C17" s="7">
        <f>RefTables!D32+RefTables!$F$49*RefTables!$F$57/1000</f>
        <v>171.89054600214658</v>
      </c>
      <c r="D17" s="111">
        <f>-Inputs_SupplyCurve!AL38/1000</f>
        <v>-24.565436162716658</v>
      </c>
      <c r="E17" s="111">
        <f>-(Inputs_SupplyCurve!AM38+Inputs_SupplyCurve!AN38)/1000-RefTables!D293</f>
        <v>-15.640735019232693</v>
      </c>
      <c r="F17" s="7">
        <f>RefTables!$F$80/1000</f>
        <v>99.970249999999993</v>
      </c>
      <c r="G17" s="4">
        <f>RefTables!$F$127/1000</f>
        <v>36.795041666666663</v>
      </c>
      <c r="H17" s="238">
        <f t="shared" si="0"/>
        <v>5.080916846469421</v>
      </c>
      <c r="I17" s="263">
        <f t="shared" si="1"/>
        <v>0.96284936927672438</v>
      </c>
      <c r="J17" s="343">
        <f t="shared" si="4"/>
        <v>0</v>
      </c>
      <c r="K17" s="346">
        <f>Inputs_JanElectric!G25+UPDATES!J19</f>
        <v>50.909455399999999</v>
      </c>
      <c r="L17" s="7">
        <f>RefTables!$F$126/1000</f>
        <v>18.940624999999997</v>
      </c>
      <c r="M17" s="4">
        <f>RefTables!$F$125/1000</f>
        <v>12.191666666666666</v>
      </c>
      <c r="N17" s="4"/>
      <c r="O17" s="4"/>
      <c r="P17" s="8">
        <f>BalancingMeasures!$N$15*$S17</f>
        <v>29.166666666666664</v>
      </c>
      <c r="Q17" s="238">
        <f t="shared" si="2"/>
        <v>9.3895029333333326</v>
      </c>
      <c r="R17" s="243">
        <f t="shared" si="3"/>
        <v>0.8442841602432325</v>
      </c>
      <c r="S17" s="107">
        <v>7</v>
      </c>
      <c r="T17" s="107"/>
      <c r="U17" s="107"/>
      <c r="V17" s="107"/>
      <c r="W17" s="158"/>
      <c r="X17" s="159"/>
      <c r="Y17" s="158"/>
      <c r="Z17" s="158"/>
    </row>
    <row r="18" spans="2:26" x14ac:dyDescent="0.35">
      <c r="B18" s="10">
        <v>2025</v>
      </c>
      <c r="C18" s="7">
        <f>RefTables!D33+RefTables!$F$49*RefTables!$F$57/1000</f>
        <v>172.73242677215728</v>
      </c>
      <c r="D18" s="111">
        <f>-Inputs_SupplyCurve!AL39/1000</f>
        <v>-25.886859714250889</v>
      </c>
      <c r="E18" s="111">
        <f>-(Inputs_SupplyCurve!AM39+Inputs_SupplyCurve!AN39)/1000-RefTables!D294</f>
        <v>-16.478419911774935</v>
      </c>
      <c r="F18" s="7">
        <f>RefTables!$F$80/1000</f>
        <v>99.970249999999993</v>
      </c>
      <c r="G18" s="4">
        <f>RefTables!$F$127/1000</f>
        <v>36.795041666666663</v>
      </c>
      <c r="H18" s="238">
        <f t="shared" si="0"/>
        <v>6.3981445205351974</v>
      </c>
      <c r="I18" s="263">
        <f t="shared" si="1"/>
        <v>0.95321806839611634</v>
      </c>
      <c r="J18" s="343">
        <f t="shared" si="4"/>
        <v>0</v>
      </c>
      <c r="K18" s="346">
        <f>Inputs_JanElectric!G26+UPDATES!J20</f>
        <v>48.423562833333328</v>
      </c>
      <c r="L18" s="7">
        <f>RefTables!$F$126/1000</f>
        <v>18.940624999999997</v>
      </c>
      <c r="M18" s="4">
        <f>RefTables!$F$125/1000</f>
        <v>12.191666666666666</v>
      </c>
      <c r="N18" s="4"/>
      <c r="O18" s="4"/>
      <c r="P18" s="8">
        <f>BalancingMeasures!$N$15*$S18</f>
        <v>29.166666666666664</v>
      </c>
      <c r="Q18" s="238">
        <f t="shared" si="2"/>
        <v>11.875395500000003</v>
      </c>
      <c r="R18" s="243">
        <f t="shared" si="3"/>
        <v>0.80305803237341711</v>
      </c>
      <c r="S18" s="107">
        <v>7</v>
      </c>
      <c r="T18" s="107"/>
      <c r="U18" s="107"/>
      <c r="V18" s="107"/>
      <c r="W18" s="158"/>
      <c r="X18" s="159"/>
      <c r="Y18" s="159"/>
      <c r="Z18" s="158"/>
    </row>
    <row r="19" spans="2:26" x14ac:dyDescent="0.35">
      <c r="B19" s="10">
        <v>2026</v>
      </c>
      <c r="C19" s="7">
        <f>RefTables!D34+RefTables!$F$49*RefTables!$F$57/1000</f>
        <v>173.57851694601806</v>
      </c>
      <c r="D19" s="111">
        <f>-Inputs_SupplyCurve!AL40/1000</f>
        <v>-27.18265446536002</v>
      </c>
      <c r="E19" s="111">
        <f>-(Inputs_SupplyCurve!AM40+Inputs_SupplyCurve!AN40)/1000-RefTables!D295</f>
        <v>-17.316104804317177</v>
      </c>
      <c r="F19" s="7">
        <f>RefTables!$F$80/1000</f>
        <v>99.970249999999993</v>
      </c>
      <c r="G19" s="4">
        <f>RefTables!$F$127/1000</f>
        <v>36.795041666666663</v>
      </c>
      <c r="H19" s="238">
        <f t="shared" si="0"/>
        <v>7.6855339903258084</v>
      </c>
      <c r="I19" s="263">
        <f t="shared" si="1"/>
        <v>0.94380493839725432</v>
      </c>
      <c r="J19" s="343">
        <f t="shared" si="4"/>
        <v>0</v>
      </c>
      <c r="K19" s="346">
        <f>Inputs_JanElectric!G27+UPDATES!J21</f>
        <v>47.827670266666665</v>
      </c>
      <c r="L19" s="7">
        <f>RefTables!$F$126/1000</f>
        <v>18.940624999999997</v>
      </c>
      <c r="M19" s="4">
        <f>RefTables!$F$125/1000</f>
        <v>12.191666666666666</v>
      </c>
      <c r="N19" s="4"/>
      <c r="O19" s="4"/>
      <c r="P19" s="8">
        <f>BalancingMeasures!$N$15*$S19</f>
        <v>29.166666666666664</v>
      </c>
      <c r="Q19" s="238">
        <f t="shared" si="2"/>
        <v>12.471288066666666</v>
      </c>
      <c r="R19" s="243">
        <f t="shared" si="3"/>
        <v>0.79317572954203874</v>
      </c>
      <c r="S19" s="107">
        <v>7</v>
      </c>
      <c r="T19" s="107"/>
      <c r="U19" s="107"/>
      <c r="V19" s="107"/>
      <c r="W19" s="158"/>
      <c r="X19" s="159"/>
      <c r="Y19" s="159"/>
      <c r="Z19" s="158"/>
    </row>
    <row r="20" spans="2:26" x14ac:dyDescent="0.35">
      <c r="B20" s="10">
        <v>2027</v>
      </c>
      <c r="C20" s="7">
        <f>RefTables!D35+RefTables!$F$49*RefTables!$F$57/1000</f>
        <v>174.42883757074813</v>
      </c>
      <c r="D20" s="111">
        <f>-Inputs_SupplyCurve!AL41/1000</f>
        <v>-28.304050867980358</v>
      </c>
      <c r="E20" s="111">
        <f>-(Inputs_SupplyCurve!AM41+Inputs_SupplyCurve!AN41)/1000-RefTables!D296</f>
        <v>-18.15378969685942</v>
      </c>
      <c r="F20" s="7">
        <f>RefTables!$F$80/1000</f>
        <v>99.970249999999993</v>
      </c>
      <c r="G20" s="4">
        <f>RefTables!$F$127/1000</f>
        <v>36.795041666666663</v>
      </c>
      <c r="H20" s="238">
        <f t="shared" si="0"/>
        <v>8.7942946607582968</v>
      </c>
      <c r="I20" s="263">
        <f t="shared" si="1"/>
        <v>0.93569790585324575</v>
      </c>
      <c r="J20" s="343">
        <f t="shared" si="4"/>
        <v>0</v>
      </c>
      <c r="K20" s="346">
        <f>Inputs_JanElectric!G28+UPDATES!J22</f>
        <v>47.912097699999997</v>
      </c>
      <c r="L20" s="7">
        <f>RefTables!$F$126/1000</f>
        <v>18.940624999999997</v>
      </c>
      <c r="M20" s="4">
        <f>RefTables!$F$125/1000</f>
        <v>12.191666666666666</v>
      </c>
      <c r="N20" s="4"/>
      <c r="O20" s="4"/>
      <c r="P20" s="8">
        <f>BalancingMeasures!$N$15*$S20</f>
        <v>29.166666666666664</v>
      </c>
      <c r="Q20" s="238">
        <f t="shared" si="2"/>
        <v>12.386860633333335</v>
      </c>
      <c r="R20" s="243">
        <f t="shared" si="3"/>
        <v>0.7945758770017447</v>
      </c>
      <c r="S20" s="107">
        <v>7</v>
      </c>
      <c r="T20" s="107"/>
      <c r="U20" s="107"/>
      <c r="V20" s="107"/>
      <c r="W20" s="158"/>
      <c r="X20" s="159"/>
      <c r="Y20" s="159"/>
      <c r="Z20" s="158"/>
    </row>
    <row r="21" spans="2:26" x14ac:dyDescent="0.35">
      <c r="B21" s="10">
        <v>2028</v>
      </c>
      <c r="C21" s="7">
        <f>RefTables!D36+RefTables!$F$49*RefTables!$F$57/1000</f>
        <v>175.28340979860184</v>
      </c>
      <c r="D21" s="111">
        <f>-Inputs_SupplyCurve!AL42/1000</f>
        <v>-29.448208457740751</v>
      </c>
      <c r="E21" s="111">
        <f>-(Inputs_SupplyCurve!AM42+Inputs_SupplyCurve!AN42)/1000-RefTables!D297</f>
        <v>-18.991474589401662</v>
      </c>
      <c r="F21" s="7">
        <f>RefTables!$F$80/1000</f>
        <v>99.970249999999993</v>
      </c>
      <c r="G21" s="4">
        <f>RefTables!$F$127/1000</f>
        <v>36.795041666666663</v>
      </c>
      <c r="H21" s="238">
        <f t="shared" si="0"/>
        <v>9.9215649152072274</v>
      </c>
      <c r="I21" s="263">
        <f t="shared" si="1"/>
        <v>0.92745553499502842</v>
      </c>
      <c r="J21" s="343">
        <f t="shared" si="4"/>
        <v>0</v>
      </c>
      <c r="K21" s="346">
        <f>Inputs_JanElectric!G29+UPDATES!J23</f>
        <v>51.014955133333338</v>
      </c>
      <c r="L21" s="7">
        <f>RefTables!$F$126/1000</f>
        <v>18.940624999999997</v>
      </c>
      <c r="M21" s="4">
        <f>RefTables!$F$125/1000</f>
        <v>12.191666666666666</v>
      </c>
      <c r="N21" s="4"/>
      <c r="O21" s="4"/>
      <c r="P21" s="8">
        <f>BalancingMeasures!$N$15*$S21</f>
        <v>29.166666666666664</v>
      </c>
      <c r="Q21" s="238">
        <f t="shared" si="2"/>
        <v>9.2840031999999937</v>
      </c>
      <c r="R21" s="243">
        <f t="shared" si="3"/>
        <v>0.8460337714512759</v>
      </c>
      <c r="S21" s="107">
        <v>7</v>
      </c>
      <c r="T21" s="107"/>
      <c r="U21" s="107"/>
      <c r="V21" s="107"/>
      <c r="W21" s="158"/>
      <c r="X21" s="159"/>
      <c r="Y21" s="159"/>
      <c r="Z21" s="158"/>
    </row>
    <row r="22" spans="2:26" x14ac:dyDescent="0.35">
      <c r="B22" s="10">
        <v>2029</v>
      </c>
      <c r="C22" s="7">
        <f>RefTables!D37+RefTables!$F$49*RefTables!$F$57/1000</f>
        <v>176.14225488759482</v>
      </c>
      <c r="D22" s="111">
        <f>-Inputs_SupplyCurve!AL43/1000</f>
        <v>-30.452912216197198</v>
      </c>
      <c r="E22" s="111">
        <f>-(Inputs_SupplyCurve!AM43+Inputs_SupplyCurve!AN43)/1000-RefTables!D298</f>
        <v>-19.829159481943904</v>
      </c>
      <c r="F22" s="7">
        <f>RefTables!$F$80/1000</f>
        <v>99.970249999999993</v>
      </c>
      <c r="G22" s="4">
        <f>RefTables!$F$127/1000</f>
        <v>36.795041666666663</v>
      </c>
      <c r="H22" s="238">
        <f t="shared" si="0"/>
        <v>10.905108477212949</v>
      </c>
      <c r="I22" s="263">
        <f t="shared" si="1"/>
        <v>0.92026406448361475</v>
      </c>
      <c r="J22" s="343">
        <f t="shared" si="4"/>
        <v>0</v>
      </c>
      <c r="K22" s="346">
        <f>Inputs_JanElectric!G30+UPDATES!J24</f>
        <v>52.801992566666655</v>
      </c>
      <c r="L22" s="7">
        <f>RefTables!$F$126/1000</f>
        <v>18.940624999999997</v>
      </c>
      <c r="M22" s="4">
        <f>RefTables!$F$125/1000</f>
        <v>12.191666666666666</v>
      </c>
      <c r="N22" s="4"/>
      <c r="O22" s="4"/>
      <c r="P22" s="8">
        <f>BalancingMeasures!$N$15*$S22</f>
        <v>29.166666666666664</v>
      </c>
      <c r="Q22" s="238">
        <f t="shared" si="2"/>
        <v>7.4969657666666762</v>
      </c>
      <c r="R22" s="243">
        <f t="shared" si="3"/>
        <v>0.87567006174097795</v>
      </c>
      <c r="S22" s="107">
        <v>7</v>
      </c>
      <c r="T22" s="107"/>
      <c r="U22" s="107"/>
      <c r="V22" s="107"/>
      <c r="W22" s="158"/>
      <c r="X22" s="159"/>
      <c r="Y22" s="159"/>
      <c r="Z22" s="158"/>
    </row>
    <row r="23" spans="2:26" ht="18" thickBot="1" x14ac:dyDescent="0.4">
      <c r="B23" s="11">
        <v>2030</v>
      </c>
      <c r="C23" s="12">
        <f>RefTables!D38+RefTables!$F$49*RefTables!$F$57/1000</f>
        <v>177.00539420203276</v>
      </c>
      <c r="D23" s="112">
        <f>-Inputs_SupplyCurve!AL44/1000</f>
        <v>-31.418873807243386</v>
      </c>
      <c r="E23" s="112">
        <f>-(Inputs_SupplyCurve!AM44+Inputs_SupplyCurve!AN44)/1000-RefTables!D299</f>
        <v>-20.666844374486139</v>
      </c>
      <c r="F23" s="12">
        <f>RefTables!$F$80/1000</f>
        <v>99.970249999999993</v>
      </c>
      <c r="G23" s="13">
        <f>RefTables!$F$127/1000</f>
        <v>36.795041666666663</v>
      </c>
      <c r="H23" s="239">
        <f t="shared" si="0"/>
        <v>11.845615646363427</v>
      </c>
      <c r="I23" s="264">
        <f t="shared" si="1"/>
        <v>0.91338726732485365</v>
      </c>
      <c r="J23" s="344">
        <f t="shared" si="4"/>
        <v>0</v>
      </c>
      <c r="K23" s="347">
        <f>Inputs_JanElectric!G31+UPDATES!J25</f>
        <v>46.043170000000003</v>
      </c>
      <c r="L23" s="12">
        <f>RefTables!$F$126/1000</f>
        <v>18.940624999999997</v>
      </c>
      <c r="M23" s="13">
        <f>RefTables!$F$125/1000</f>
        <v>12.191666666666666</v>
      </c>
      <c r="N23" s="13"/>
      <c r="O23" s="13"/>
      <c r="P23" s="14">
        <f>BalancingMeasures!$N$15*$S23</f>
        <v>29.166666666666664</v>
      </c>
      <c r="Q23" s="239">
        <f t="shared" si="2"/>
        <v>14.255788333333328</v>
      </c>
      <c r="R23" s="252">
        <f t="shared" si="3"/>
        <v>0.76358151571164523</v>
      </c>
      <c r="S23" s="107">
        <v>7</v>
      </c>
      <c r="T23" s="107"/>
      <c r="U23" s="107"/>
      <c r="V23" s="107"/>
      <c r="W23" s="158"/>
      <c r="X23" s="159"/>
      <c r="Y23" s="159"/>
      <c r="Z23" s="158"/>
    </row>
    <row r="25" spans="2:26" ht="21.75" x14ac:dyDescent="0.45">
      <c r="B25" s="440" t="s">
        <v>3</v>
      </c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185"/>
      <c r="T25" s="185"/>
    </row>
    <row r="26" spans="2:26" ht="18" thickBot="1" x14ac:dyDescent="0.4">
      <c r="B26" s="2"/>
      <c r="C26" s="2"/>
      <c r="D26" s="184"/>
      <c r="E26" s="184"/>
      <c r="F26" s="75"/>
      <c r="G26" s="2"/>
      <c r="H26" s="2"/>
      <c r="I26" s="2"/>
    </row>
    <row r="27" spans="2:26" ht="19.5" customHeight="1" x14ac:dyDescent="0.4">
      <c r="B27" s="460" t="s">
        <v>549</v>
      </c>
      <c r="C27" s="454" t="s">
        <v>435</v>
      </c>
      <c r="D27" s="455"/>
      <c r="E27" s="455"/>
      <c r="F27" s="437" t="s">
        <v>551</v>
      </c>
      <c r="G27" s="438"/>
      <c r="H27" s="433" t="s">
        <v>1</v>
      </c>
      <c r="J27" s="456" t="s">
        <v>347</v>
      </c>
      <c r="K27" s="452" t="s">
        <v>435</v>
      </c>
      <c r="L27" s="453"/>
      <c r="M27" s="453"/>
      <c r="N27" s="435" t="s">
        <v>551</v>
      </c>
      <c r="O27" s="439"/>
      <c r="P27" s="435" t="s">
        <v>1</v>
      </c>
      <c r="Q27" s="435" t="s">
        <v>559</v>
      </c>
      <c r="R27" s="441"/>
    </row>
    <row r="28" spans="2:26" ht="52.5" customHeight="1" thickBot="1" x14ac:dyDescent="0.4">
      <c r="B28" s="461"/>
      <c r="C28" s="156" t="s">
        <v>456</v>
      </c>
      <c r="D28" s="157" t="s">
        <v>425</v>
      </c>
      <c r="E28" s="157" t="s">
        <v>20</v>
      </c>
      <c r="F28" s="350" t="s">
        <v>267</v>
      </c>
      <c r="G28" s="348" t="s">
        <v>106</v>
      </c>
      <c r="H28" s="434"/>
      <c r="J28" s="457"/>
      <c r="K28" s="154" t="s">
        <v>456</v>
      </c>
      <c r="L28" s="155" t="s">
        <v>425</v>
      </c>
      <c r="M28" s="155" t="s">
        <v>20</v>
      </c>
      <c r="N28" s="351" t="s">
        <v>537</v>
      </c>
      <c r="O28" s="349" t="s">
        <v>106</v>
      </c>
      <c r="P28" s="436"/>
      <c r="Q28" s="154" t="s">
        <v>560</v>
      </c>
      <c r="R28" s="357" t="s">
        <v>558</v>
      </c>
    </row>
    <row r="29" spans="2:26" x14ac:dyDescent="0.35">
      <c r="B29" s="9">
        <v>2015</v>
      </c>
      <c r="C29" s="5">
        <f>RefTables!C23/1000+(RefTables!$F$49*RefTables!$F$57/RefTables!E23)*10^-6</f>
        <v>262.16001363122507</v>
      </c>
      <c r="D29" s="110">
        <f>-Inputs_SupplyCurve!X29*10^-6</f>
        <v>-14.748059417778327</v>
      </c>
      <c r="E29" s="110">
        <f>-(Inputs_SupplyCurve!Y29+Inputs_SupplyCurve!Z29)*10^-6-RefTables!C284</f>
        <v>-11.961418513571806</v>
      </c>
      <c r="F29" s="342">
        <f>Inputs_AnnualElectric!O16*10^-6+UPDATES!R10</f>
        <v>181.64759999999998</v>
      </c>
      <c r="G29" s="345">
        <f t="shared" ref="G29:G44" si="5">-O8/1000</f>
        <v>-3.5839999999999999E-3</v>
      </c>
      <c r="H29" s="278">
        <f t="shared" ref="H29:H44" si="6">SUM(C29:E29,F29,G29)</f>
        <v>417.0945516998749</v>
      </c>
      <c r="I29" s="77"/>
      <c r="J29" s="9">
        <v>2015</v>
      </c>
      <c r="K29" s="5">
        <f>C29*RefTables!$O139</f>
        <v>13.786087607379818</v>
      </c>
      <c r="L29" s="3">
        <f>D29*RefTables!$O139</f>
        <v>-0.77554939197683359</v>
      </c>
      <c r="M29" s="3">
        <f>E29*RefTables!$O139</f>
        <v>-0.62900959323491168</v>
      </c>
      <c r="N29" s="342">
        <f>Inputs_AnnualElectric!P16*10^-6+UPDATES!N10</f>
        <v>18.312398863440702</v>
      </c>
      <c r="O29" s="345">
        <f>O8*RefTables!I165/1000</f>
        <v>8.7403251841546467E-5</v>
      </c>
      <c r="P29" s="342">
        <f t="shared" ref="P29:P44" si="7">SUM(K29:M29,N29,O29)</f>
        <v>30.694014888860618</v>
      </c>
      <c r="Q29" s="5" t="s">
        <v>561</v>
      </c>
      <c r="R29" s="358" t="s">
        <v>561</v>
      </c>
    </row>
    <row r="30" spans="2:26" x14ac:dyDescent="0.35">
      <c r="B30" s="10">
        <v>2016</v>
      </c>
      <c r="C30" s="7">
        <f>RefTables!C24/1000+(RefTables!$F$49*RefTables!$F$57/RefTables!E24)*10^-6</f>
        <v>266.66263355879875</v>
      </c>
      <c r="D30" s="111">
        <f>-Inputs_SupplyCurve!X30*10^-6</f>
        <v>-19.307915165203109</v>
      </c>
      <c r="E30" s="111">
        <f>-(Inputs_SupplyCurve!Y30+Inputs_SupplyCurve!Z30)*10^-6-RefTables!C285</f>
        <v>-13.670192586939207</v>
      </c>
      <c r="F30" s="343">
        <f>Inputs_AnnualElectric!O17*10^-6+UPDATES!R11</f>
        <v>184.29351406666666</v>
      </c>
      <c r="G30" s="346">
        <f t="shared" si="5"/>
        <v>0</v>
      </c>
      <c r="H30" s="279">
        <f t="shared" si="6"/>
        <v>417.9780398733231</v>
      </c>
      <c r="I30" s="77"/>
      <c r="J30" s="10">
        <v>2016</v>
      </c>
      <c r="K30" s="7">
        <f>C30*RefTables!$O140</f>
        <v>14.023318260131667</v>
      </c>
      <c r="L30" s="4">
        <f>D30*RefTables!$O140</f>
        <v>-1.0153692539812236</v>
      </c>
      <c r="M30" s="4">
        <f>E30*RefTables!$O140</f>
        <v>-0.71889135258866788</v>
      </c>
      <c r="N30" s="343">
        <f>Inputs_AnnualElectric!P17*10^-6+UPDATES!N11</f>
        <v>18.029511097248619</v>
      </c>
      <c r="O30" s="346">
        <f>O9*RefTables!I166/1000</f>
        <v>0</v>
      </c>
      <c r="P30" s="343">
        <f t="shared" si="7"/>
        <v>30.318568750810392</v>
      </c>
      <c r="Q30" s="7" t="s">
        <v>561</v>
      </c>
      <c r="R30" s="359" t="s">
        <v>561</v>
      </c>
    </row>
    <row r="31" spans="2:26" x14ac:dyDescent="0.35">
      <c r="B31" s="10">
        <v>2017</v>
      </c>
      <c r="C31" s="7">
        <f>RefTables!C25/1000+(RefTables!$F$49*RefTables!$F$57/RefTables!E25)*10^-6</f>
        <v>269.91601236696005</v>
      </c>
      <c r="D31" s="111">
        <f>-Inputs_SupplyCurve!X31*10^-6</f>
        <v>-23.158718860387786</v>
      </c>
      <c r="E31" s="111">
        <f>-(Inputs_SupplyCurve!Y31+Inputs_SupplyCurve!Z31)*10^-6-RefTables!C286</f>
        <v>-15.378966660306608</v>
      </c>
      <c r="F31" s="343">
        <f>Inputs_AnnualElectric!O18*10^-6+UPDATES!R12</f>
        <v>192.87490813333332</v>
      </c>
      <c r="G31" s="346">
        <f t="shared" si="5"/>
        <v>0</v>
      </c>
      <c r="H31" s="279">
        <f t="shared" si="6"/>
        <v>424.25323497959897</v>
      </c>
      <c r="I31" s="77"/>
      <c r="J31" s="10">
        <v>2017</v>
      </c>
      <c r="K31" s="7">
        <f>C31*RefTables!$O141</f>
        <v>14.194624727085387</v>
      </c>
      <c r="L31" s="4">
        <f>D31*RefTables!$O141</f>
        <v>-1.2178948573690411</v>
      </c>
      <c r="M31" s="4">
        <f>E31*RefTables!$O141</f>
        <v>-0.80876513593652766</v>
      </c>
      <c r="N31" s="343">
        <f>Inputs_AnnualElectric!P18*10^-6+UPDATES!N12</f>
        <v>17.205003117126104</v>
      </c>
      <c r="O31" s="346">
        <f>O10*RefTables!I167/1000</f>
        <v>0</v>
      </c>
      <c r="P31" s="343">
        <f t="shared" si="7"/>
        <v>29.372967850905923</v>
      </c>
      <c r="Q31" s="7" t="s">
        <v>561</v>
      </c>
      <c r="R31" s="359" t="s">
        <v>561</v>
      </c>
    </row>
    <row r="32" spans="2:26" x14ac:dyDescent="0.35">
      <c r="B32" s="10">
        <v>2018</v>
      </c>
      <c r="C32" s="7">
        <f>RefTables!C26/1000+(RefTables!$F$49*RefTables!$F$57/RefTables!E26)*10^-6</f>
        <v>273.65353546042417</v>
      </c>
      <c r="D32" s="111">
        <f>-Inputs_SupplyCurve!X32*10^-6</f>
        <v>-26.774935019651814</v>
      </c>
      <c r="E32" s="111">
        <f>-(Inputs_SupplyCurve!Y32+Inputs_SupplyCurve!Z32)*10^-6-RefTables!C287</f>
        <v>-17.087740733674007</v>
      </c>
      <c r="F32" s="343">
        <f>Inputs_AnnualElectric!O19*10^-6+UPDATES!R13</f>
        <v>189.01498219999999</v>
      </c>
      <c r="G32" s="346">
        <f t="shared" si="5"/>
        <v>0</v>
      </c>
      <c r="H32" s="279">
        <f t="shared" si="6"/>
        <v>418.80584190709834</v>
      </c>
      <c r="I32" s="77"/>
      <c r="J32" s="10">
        <v>2018</v>
      </c>
      <c r="K32" s="7">
        <f>C32*RefTables!$O142</f>
        <v>14.392299716320712</v>
      </c>
      <c r="L32" s="4">
        <f>D32*RefTables!$O142</f>
        <v>-1.4081780052265034</v>
      </c>
      <c r="M32" s="4">
        <f>E32*RefTables!$O142</f>
        <v>-0.8986980040292043</v>
      </c>
      <c r="N32" s="343">
        <f>Inputs_AnnualElectric!P19*10^-6+UPDATES!N13</f>
        <v>16.165980970147157</v>
      </c>
      <c r="O32" s="346">
        <f>O11*RefTables!I168/1000</f>
        <v>0</v>
      </c>
      <c r="P32" s="343">
        <f t="shared" si="7"/>
        <v>28.251404677212161</v>
      </c>
      <c r="Q32" s="7" t="s">
        <v>561</v>
      </c>
      <c r="R32" s="359" t="s">
        <v>561</v>
      </c>
    </row>
    <row r="33" spans="2:22" x14ac:dyDescent="0.35">
      <c r="B33" s="10">
        <v>2019</v>
      </c>
      <c r="C33" s="7">
        <f>RefTables!C27/1000+(RefTables!$F$49*RefTables!$F$57/RefTables!E27)*10^-6</f>
        <v>277.53709599613234</v>
      </c>
      <c r="D33" s="111">
        <f>-Inputs_SupplyCurve!X33*10^-6</f>
        <v>-30.396762582542703</v>
      </c>
      <c r="E33" s="111">
        <f>-(Inputs_SupplyCurve!Y33+Inputs_SupplyCurve!Z33)*10^-6-RefTables!C288</f>
        <v>-18.796514807041408</v>
      </c>
      <c r="F33" s="343">
        <f>Inputs_AnnualElectric!O20*10^-6+UPDATES!R14</f>
        <v>193.14791626666664</v>
      </c>
      <c r="G33" s="346">
        <f t="shared" si="5"/>
        <v>0</v>
      </c>
      <c r="H33" s="279">
        <f t="shared" si="6"/>
        <v>421.49173487321491</v>
      </c>
      <c r="I33" s="77"/>
      <c r="J33" s="10">
        <v>2019</v>
      </c>
      <c r="K33" s="7">
        <f>C33*RefTables!$O143</f>
        <v>14.597233580002769</v>
      </c>
      <c r="L33" s="4">
        <f>D33*RefTables!$O143</f>
        <v>-1.5987363487418178</v>
      </c>
      <c r="M33" s="4">
        <f>E33*RefTables!$O143</f>
        <v>-0.98861421080873357</v>
      </c>
      <c r="N33" s="343">
        <f>Inputs_AnnualElectric!P20*10^-6+UPDATES!N14</f>
        <v>16.113094486434903</v>
      </c>
      <c r="O33" s="346">
        <f>O12*RefTables!I169/1000</f>
        <v>0</v>
      </c>
      <c r="P33" s="343">
        <f t="shared" si="7"/>
        <v>28.122977506887118</v>
      </c>
      <c r="Q33" s="7" t="s">
        <v>561</v>
      </c>
      <c r="R33" s="359" t="s">
        <v>561</v>
      </c>
    </row>
    <row r="34" spans="2:22" x14ac:dyDescent="0.35">
      <c r="B34" s="10">
        <v>2020</v>
      </c>
      <c r="C34" s="7">
        <f>RefTables!C28/1000+(RefTables!$F$49*RefTables!$F$57/RefTables!E28)*10^-6</f>
        <v>278.89570810406974</v>
      </c>
      <c r="D34" s="111">
        <f>-Inputs_SupplyCurve!X34*10^-6</f>
        <v>-34.099856575886072</v>
      </c>
      <c r="E34" s="111">
        <f>-(Inputs_SupplyCurve!Y34+Inputs_SupplyCurve!Z34)*10^-6-RefTables!C289</f>
        <v>-20.505288880408809</v>
      </c>
      <c r="F34" s="343">
        <f>Inputs_AnnualElectric!O21*10^-6+UPDATES!R15</f>
        <v>239.6583003333333</v>
      </c>
      <c r="G34" s="346">
        <f t="shared" si="5"/>
        <v>0</v>
      </c>
      <c r="H34" s="279">
        <f t="shared" si="6"/>
        <v>463.94886298110816</v>
      </c>
      <c r="I34" s="77"/>
      <c r="J34" s="10">
        <v>2020</v>
      </c>
      <c r="K34" s="7">
        <f>C34*RefTables!$O144</f>
        <v>14.669979949578757</v>
      </c>
      <c r="L34" s="4">
        <f>D34*RefTables!$O144</f>
        <v>-1.7936604892646615</v>
      </c>
      <c r="M34" s="4">
        <f>E34*RefTables!$O144</f>
        <v>-1.0785830258229345</v>
      </c>
      <c r="N34" s="343">
        <f>Inputs_AnnualElectric!P21*10^-6+UPDATES!N15</f>
        <v>15.533092397521321</v>
      </c>
      <c r="O34" s="346">
        <f>O13*RefTables!I170/1000</f>
        <v>0</v>
      </c>
      <c r="P34" s="238">
        <f t="shared" si="7"/>
        <v>27.330828832012479</v>
      </c>
      <c r="Q34" s="7">
        <f>RefTables!$F$227</f>
        <v>23.326496260794567</v>
      </c>
      <c r="R34" s="360" t="str">
        <f>IF(P34&lt;=Q34,"Yes","No")</f>
        <v>No</v>
      </c>
    </row>
    <row r="35" spans="2:22" x14ac:dyDescent="0.35">
      <c r="B35" s="10">
        <v>2021</v>
      </c>
      <c r="C35" s="7">
        <f>RefTables!C29/1000+(RefTables!$F$49*RefTables!$F$57/RefTables!E29)*10^-6</f>
        <v>280.26111327254694</v>
      </c>
      <c r="D35" s="111">
        <f>-Inputs_SupplyCurve!X35*10^-6</f>
        <v>-37.20299143522945</v>
      </c>
      <c r="E35" s="111">
        <f>-(Inputs_SupplyCurve!Y35+Inputs_SupplyCurve!Z35)*10^-6-RefTables!C290</f>
        <v>-21.902927372914633</v>
      </c>
      <c r="F35" s="343">
        <f>Inputs_AnnualElectric!O22*10^-6+UPDATES!R16</f>
        <v>224.07948496666666</v>
      </c>
      <c r="G35" s="346">
        <f t="shared" si="5"/>
        <v>0</v>
      </c>
      <c r="H35" s="279">
        <f t="shared" si="6"/>
        <v>445.23467943106948</v>
      </c>
      <c r="I35" s="77"/>
      <c r="J35" s="10">
        <v>2021</v>
      </c>
      <c r="K35" s="7">
        <f>C35*RefTables!$O145</f>
        <v>14.744523354157211</v>
      </c>
      <c r="L35" s="4">
        <f>D35*RefTables!$O145</f>
        <v>-1.9572475455337592</v>
      </c>
      <c r="M35" s="4">
        <f>E35*RefTables!$O145</f>
        <v>-1.1523119294123763</v>
      </c>
      <c r="N35" s="343">
        <f>Inputs_AnnualElectric!P22*10^-6+UPDATES!N16</f>
        <v>14.707358324065533</v>
      </c>
      <c r="O35" s="346">
        <f>O14*RefTables!I171/1000</f>
        <v>0</v>
      </c>
      <c r="P35" s="343">
        <f t="shared" si="7"/>
        <v>26.342322203276609</v>
      </c>
      <c r="Q35" s="7" t="s">
        <v>561</v>
      </c>
      <c r="R35" s="359" t="s">
        <v>561</v>
      </c>
    </row>
    <row r="36" spans="2:22" x14ac:dyDescent="0.35">
      <c r="B36" s="10">
        <v>2022</v>
      </c>
      <c r="C36" s="7">
        <f>RefTables!C30/1000+(RefTables!$F$49*RefTables!$F$57/RefTables!E30)*10^-6</f>
        <v>281.63334546686644</v>
      </c>
      <c r="D36" s="111">
        <f>-Inputs_SupplyCurve!X36*10^-6</f>
        <v>-40.304741314849821</v>
      </c>
      <c r="E36" s="111">
        <f>-(Inputs_SupplyCurve!Y36+Inputs_SupplyCurve!Z36)*10^-6-RefTables!C291</f>
        <v>-23.300565865420459</v>
      </c>
      <c r="F36" s="343">
        <f>Inputs_AnnualElectric!O23*10^-6+UPDATES!R17</f>
        <v>204.7185796</v>
      </c>
      <c r="G36" s="346">
        <f t="shared" si="5"/>
        <v>0</v>
      </c>
      <c r="H36" s="279">
        <f t="shared" si="6"/>
        <v>422.74661788659614</v>
      </c>
      <c r="I36" s="77"/>
      <c r="J36" s="10">
        <v>2022</v>
      </c>
      <c r="K36" s="7">
        <f>C36*RefTables!$O146</f>
        <v>14.820700159149807</v>
      </c>
      <c r="L36" s="4">
        <f>D36*RefTables!$O146</f>
        <v>-2.1210005691238818</v>
      </c>
      <c r="M36" s="4">
        <f>E36*RefTables!$O146</f>
        <v>-1.2261712108609133</v>
      </c>
      <c r="N36" s="343">
        <f>Inputs_AnnualElectric!P23*10^-6+UPDATES!N17</f>
        <v>13.613145091425016</v>
      </c>
      <c r="O36" s="346">
        <f>O15*RefTables!I172/1000</f>
        <v>0</v>
      </c>
      <c r="P36" s="343">
        <f t="shared" si="7"/>
        <v>25.086673470590029</v>
      </c>
      <c r="Q36" s="7" t="s">
        <v>561</v>
      </c>
      <c r="R36" s="359" t="s">
        <v>561</v>
      </c>
    </row>
    <row r="37" spans="2:22" x14ac:dyDescent="0.35">
      <c r="B37" s="10">
        <v>2023</v>
      </c>
      <c r="C37" s="7">
        <f>RefTables!C31/1000+(RefTables!$F$49*RefTables!$F$57/RefTables!E31)*10^-6</f>
        <v>283.01243882215761</v>
      </c>
      <c r="D37" s="111">
        <f>-Inputs_SupplyCurve!X37*10^-6</f>
        <v>-42.647260704365458</v>
      </c>
      <c r="E37" s="111">
        <f>-(Inputs_SupplyCurve!Y37+Inputs_SupplyCurve!Z37)*10^-6-RefTables!C292</f>
        <v>-24.698204357926286</v>
      </c>
      <c r="F37" s="343">
        <f>Inputs_AnnualElectric!O24*10^-6+UPDATES!R18</f>
        <v>202.14908423333333</v>
      </c>
      <c r="G37" s="346">
        <f t="shared" si="5"/>
        <v>0</v>
      </c>
      <c r="H37" s="279">
        <f t="shared" si="6"/>
        <v>417.81605799319919</v>
      </c>
      <c r="I37" s="77"/>
      <c r="J37" s="10">
        <v>2023</v>
      </c>
      <c r="K37" s="7">
        <f>C37*RefTables!$O147</f>
        <v>14.898140021790372</v>
      </c>
      <c r="L37" s="4">
        <f>D37*RefTables!$O147</f>
        <v>-2.2450068419737983</v>
      </c>
      <c r="M37" s="4">
        <f>E37*RefTables!$O147</f>
        <v>-1.3001453517115549</v>
      </c>
      <c r="N37" s="343">
        <f>Inputs_AnnualElectric!P24*10^-6+UPDATES!N18</f>
        <v>13.025246157531194</v>
      </c>
      <c r="O37" s="346">
        <f>O16*RefTables!I173/1000</f>
        <v>0</v>
      </c>
      <c r="P37" s="343">
        <f t="shared" si="7"/>
        <v>24.378233985636214</v>
      </c>
      <c r="Q37" s="7" t="s">
        <v>561</v>
      </c>
      <c r="R37" s="359" t="s">
        <v>561</v>
      </c>
    </row>
    <row r="38" spans="2:22" x14ac:dyDescent="0.35">
      <c r="B38" s="10">
        <v>2024</v>
      </c>
      <c r="C38" s="7">
        <f>RefTables!C32/1000+(RefTables!$F$49*RefTables!$F$57/RefTables!E32)*10^-6</f>
        <v>284.39842764422514</v>
      </c>
      <c r="D38" s="111">
        <f>-Inputs_SupplyCurve!X38*10^-6</f>
        <v>-45.190576364933563</v>
      </c>
      <c r="E38" s="111">
        <f>-(Inputs_SupplyCurve!Y38+Inputs_SupplyCurve!Z38)*10^-6-RefTables!C293</f>
        <v>-26.095842850432113</v>
      </c>
      <c r="F38" s="343">
        <f>Inputs_AnnualElectric!O25*10^-6+UPDATES!R19</f>
        <v>212.34921886666666</v>
      </c>
      <c r="G38" s="346">
        <f t="shared" si="5"/>
        <v>0</v>
      </c>
      <c r="H38" s="279">
        <f t="shared" si="6"/>
        <v>425.4612272955261</v>
      </c>
      <c r="I38" s="77"/>
      <c r="J38" s="10">
        <v>2024</v>
      </c>
      <c r="K38" s="7">
        <f>C38*RefTables!$O148</f>
        <v>14.978332305599096</v>
      </c>
      <c r="L38" s="4">
        <f>D38*RefTables!$O148</f>
        <v>-2.3800394238546407</v>
      </c>
      <c r="M38" s="4">
        <f>E38*RefTables!$O148</f>
        <v>-1.3743824438348697</v>
      </c>
      <c r="N38" s="343">
        <f>Inputs_AnnualElectric!P25*10^-6+UPDATES!N19</f>
        <v>12.196162216302374</v>
      </c>
      <c r="O38" s="346">
        <f>O17*RefTables!I174/1000</f>
        <v>0</v>
      </c>
      <c r="P38" s="343">
        <f t="shared" si="7"/>
        <v>23.42007265421196</v>
      </c>
      <c r="Q38" s="7" t="s">
        <v>561</v>
      </c>
      <c r="R38" s="359" t="s">
        <v>561</v>
      </c>
    </row>
    <row r="39" spans="2:22" x14ac:dyDescent="0.35">
      <c r="B39" s="10">
        <v>2025</v>
      </c>
      <c r="C39" s="7">
        <f>RefTables!C33/1000+(RefTables!$F$49*RefTables!$F$57/RefTables!E33)*10^-6</f>
        <v>285.79134641040304</v>
      </c>
      <c r="D39" s="111">
        <f>-Inputs_SupplyCurve!X39*10^-6</f>
        <v>-47.621467130335922</v>
      </c>
      <c r="E39" s="111">
        <f>-(Inputs_SupplyCurve!Y39+Inputs_SupplyCurve!Z39)*10^-6-RefTables!C294</f>
        <v>-27.49348134293794</v>
      </c>
      <c r="F39" s="343">
        <f>Inputs_AnnualElectric!O26*10^-6+UPDATES!R20</f>
        <v>210.59186349999999</v>
      </c>
      <c r="G39" s="346">
        <f t="shared" si="5"/>
        <v>0</v>
      </c>
      <c r="H39" s="279">
        <f t="shared" si="6"/>
        <v>421.26826143712913</v>
      </c>
      <c r="I39" s="77"/>
      <c r="J39" s="10">
        <v>2025</v>
      </c>
      <c r="K39" s="7">
        <f>C39*RefTables!$O149</f>
        <v>15.060203172349356</v>
      </c>
      <c r="L39" s="4">
        <f>D39*RefTables!$O149</f>
        <v>-2.5094845570247446</v>
      </c>
      <c r="M39" s="4">
        <f>E39*RefTables!$O149</f>
        <v>-1.4488101901631609</v>
      </c>
      <c r="N39" s="343">
        <f>Inputs_AnnualElectric!P26*10^-6+UPDATES!N20</f>
        <v>11.646353968192928</v>
      </c>
      <c r="O39" s="346">
        <f>O18*RefTables!I175/1000</f>
        <v>0</v>
      </c>
      <c r="P39" s="343">
        <f t="shared" si="7"/>
        <v>22.748262393354377</v>
      </c>
      <c r="Q39" s="7" t="s">
        <v>561</v>
      </c>
      <c r="R39" s="359" t="s">
        <v>561</v>
      </c>
    </row>
    <row r="40" spans="2:22" x14ac:dyDescent="0.35">
      <c r="B40" s="10">
        <v>2026</v>
      </c>
      <c r="C40" s="7">
        <f>RefTables!C34/1000+(RefTables!$F$49*RefTables!$F$57/RefTables!E34)*10^-6</f>
        <v>287.19122977041189</v>
      </c>
      <c r="D40" s="111">
        <f>-Inputs_SupplyCurve!X40*10^-6</f>
        <v>-50.005211154476285</v>
      </c>
      <c r="E40" s="111">
        <f>-(Inputs_SupplyCurve!Y40+Inputs_SupplyCurve!Z40)*10^-6-RefTables!C295</f>
        <v>-28.891119835443767</v>
      </c>
      <c r="F40" s="343">
        <f>Inputs_AnnualElectric!O27*10^-6+UPDATES!R21</f>
        <v>207.87691813333331</v>
      </c>
      <c r="G40" s="346">
        <f t="shared" si="5"/>
        <v>0</v>
      </c>
      <c r="H40" s="279">
        <f t="shared" si="6"/>
        <v>416.17181691382518</v>
      </c>
      <c r="I40" s="77"/>
      <c r="J40" s="10">
        <v>2026</v>
      </c>
      <c r="K40" s="7">
        <f>C40*RefTables!$O150</f>
        <v>15.1445745280541</v>
      </c>
      <c r="L40" s="4">
        <f>D40*RefTables!$O150</f>
        <v>-2.6369455910107686</v>
      </c>
      <c r="M40" s="4">
        <f>E40*RefTables!$O150</f>
        <v>-1.5235274346525276</v>
      </c>
      <c r="N40" s="343">
        <f>Inputs_AnnualElectric!P27*10^-6+UPDATES!N21</f>
        <v>10.867846152817567</v>
      </c>
      <c r="O40" s="346">
        <f>O19*RefTables!I176/1000</f>
        <v>0</v>
      </c>
      <c r="P40" s="343">
        <f t="shared" si="7"/>
        <v>21.85194765520837</v>
      </c>
      <c r="Q40" s="7" t="s">
        <v>561</v>
      </c>
      <c r="R40" s="359" t="s">
        <v>561</v>
      </c>
    </row>
    <row r="41" spans="2:22" x14ac:dyDescent="0.35">
      <c r="B41" s="10">
        <v>2027</v>
      </c>
      <c r="C41" s="7">
        <f>RefTables!C35/1000+(RefTables!$F$49*RefTables!$F$57/RefTables!E35)*10^-6</f>
        <v>288.59811254722075</v>
      </c>
      <c r="D41" s="111">
        <f>-Inputs_SupplyCurve!X41*10^-6</f>
        <v>-52.068131976736652</v>
      </c>
      <c r="E41" s="111">
        <f>-(Inputs_SupplyCurve!Y41+Inputs_SupplyCurve!Z41)*10^-6-RefTables!C296</f>
        <v>-30.288758327949594</v>
      </c>
      <c r="F41" s="343">
        <f>Inputs_AnnualElectric!O28*10^-6+UPDATES!R22</f>
        <v>203.03849276666665</v>
      </c>
      <c r="G41" s="346">
        <f t="shared" si="5"/>
        <v>0</v>
      </c>
      <c r="H41" s="279">
        <f t="shared" si="6"/>
        <v>409.27971500920114</v>
      </c>
      <c r="I41" s="77"/>
      <c r="J41" s="10">
        <v>2027</v>
      </c>
      <c r="K41" s="7">
        <f>C41*RefTables!$O151</f>
        <v>15.228800504361317</v>
      </c>
      <c r="L41" s="4">
        <f>D41*RefTables!$O151</f>
        <v>-2.7475411654978781</v>
      </c>
      <c r="M41" s="4">
        <f>E41*RefTables!$O151</f>
        <v>-1.5982830034125213</v>
      </c>
      <c r="N41" s="343">
        <f>Inputs_AnnualElectric!P28*10^-6+UPDATES!N22</f>
        <v>10.218161062877428</v>
      </c>
      <c r="O41" s="346">
        <f>O20*RefTables!I177/1000</f>
        <v>0</v>
      </c>
      <c r="P41" s="343">
        <f t="shared" si="7"/>
        <v>21.101137398328344</v>
      </c>
      <c r="Q41" s="7" t="s">
        <v>561</v>
      </c>
      <c r="R41" s="359" t="s">
        <v>561</v>
      </c>
    </row>
    <row r="42" spans="2:22" x14ac:dyDescent="0.35">
      <c r="B42" s="10">
        <v>2028</v>
      </c>
      <c r="C42" s="7">
        <f>RefTables!C36/1000+(RefTables!$F$49*RefTables!$F$57/RefTables!E36)*10^-6</f>
        <v>290.01202973791362</v>
      </c>
      <c r="D42" s="111">
        <f>-Inputs_SupplyCurve!X42*10^-6</f>
        <v>-54.172924278859867</v>
      </c>
      <c r="E42" s="111">
        <f>-(Inputs_SupplyCurve!Y42+Inputs_SupplyCurve!Z42)*10^-6-RefTables!C297</f>
        <v>-31.686396820455421</v>
      </c>
      <c r="F42" s="343">
        <f>Inputs_AnnualElectric!O29*10^-6+UPDATES!R23</f>
        <v>213.84725739999999</v>
      </c>
      <c r="G42" s="346">
        <f t="shared" si="5"/>
        <v>0</v>
      </c>
      <c r="H42" s="279">
        <f t="shared" si="6"/>
        <v>417.99996603859836</v>
      </c>
      <c r="I42" s="77"/>
      <c r="J42" s="10">
        <v>2028</v>
      </c>
      <c r="K42" s="7">
        <f>C42*RefTables!$O152</f>
        <v>15.322748535150183</v>
      </c>
      <c r="L42" s="4">
        <f>D42*RefTables!$O152</f>
        <v>-2.8622195323719866</v>
      </c>
      <c r="M42" s="4">
        <f>E42*RefTables!$O152</f>
        <v>-1.6741467273050423</v>
      </c>
      <c r="N42" s="343">
        <f>Inputs_AnnualElectric!P29*10^-6+UPDATES!N23</f>
        <v>9.6773997470048414</v>
      </c>
      <c r="O42" s="346">
        <f>O21*RefTables!I178/1000</f>
        <v>0</v>
      </c>
      <c r="P42" s="343">
        <f t="shared" si="7"/>
        <v>20.463782022477996</v>
      </c>
      <c r="Q42" s="7" t="s">
        <v>561</v>
      </c>
      <c r="R42" s="359" t="s">
        <v>561</v>
      </c>
    </row>
    <row r="43" spans="2:22" x14ac:dyDescent="0.35">
      <c r="B43" s="10">
        <v>2029</v>
      </c>
      <c r="C43" s="7">
        <f>RefTables!C37/1000+(RefTables!$F$49*RefTables!$F$57/RefTables!E37)*10^-6</f>
        <v>291.43301651455999</v>
      </c>
      <c r="D43" s="111">
        <f>-Inputs_SupplyCurve!X43*10^-6</f>
        <v>-56.02117731291635</v>
      </c>
      <c r="E43" s="111">
        <f>-(Inputs_SupplyCurve!Y43+Inputs_SupplyCurve!Z43)*10^-6-RefTables!C298</f>
        <v>-33.084035312961248</v>
      </c>
      <c r="F43" s="343">
        <f>Inputs_AnnualElectric!O30*10^-6+UPDATES!R24</f>
        <v>213.49516203333332</v>
      </c>
      <c r="G43" s="346">
        <f t="shared" si="5"/>
        <v>0</v>
      </c>
      <c r="H43" s="279">
        <f t="shared" si="6"/>
        <v>415.82296592201573</v>
      </c>
      <c r="I43" s="77"/>
      <c r="J43" s="10">
        <v>2029</v>
      </c>
      <c r="K43" s="7">
        <f>C43*RefTables!$O153</f>
        <v>15.419922484150035</v>
      </c>
      <c r="L43" s="4">
        <f>D43*RefTables!$O153</f>
        <v>-2.9641192407341301</v>
      </c>
      <c r="M43" s="4">
        <f>E43*RefTables!$O153</f>
        <v>-1.7504991921986219</v>
      </c>
      <c r="N43" s="343">
        <f>Inputs_AnnualElectric!P30*10^-6+UPDATES!N24</f>
        <v>9.3011952638769095</v>
      </c>
      <c r="O43" s="346">
        <f>O22*RefTables!I179/1000</f>
        <v>0</v>
      </c>
      <c r="P43" s="343">
        <f t="shared" si="7"/>
        <v>20.006499315094192</v>
      </c>
      <c r="Q43" s="7" t="s">
        <v>561</v>
      </c>
      <c r="R43" s="359" t="s">
        <v>561</v>
      </c>
    </row>
    <row r="44" spans="2:22" ht="19.5" customHeight="1" thickBot="1" x14ac:dyDescent="0.4">
      <c r="B44" s="11">
        <v>2030</v>
      </c>
      <c r="C44" s="12">
        <f>RefTables!C38/1000+(RefTables!$F$49*RefTables!$F$57/RefTables!E38)*10^-6</f>
        <v>292.86110822508959</v>
      </c>
      <c r="D44" s="112">
        <f>-Inputs_SupplyCurve!X44*10^-6</f>
        <v>-57.798160255804937</v>
      </c>
      <c r="E44" s="112">
        <f>-(Inputs_SupplyCurve!Y44+Inputs_SupplyCurve!Z44)*10^-6-RefTables!C299</f>
        <v>-34.481673805467061</v>
      </c>
      <c r="F44" s="344">
        <f>Inputs_AnnualElectric!O31*10^-6+UPDATES!R25</f>
        <v>200.00393666666665</v>
      </c>
      <c r="G44" s="347">
        <f t="shared" si="5"/>
        <v>0</v>
      </c>
      <c r="H44" s="280">
        <f t="shared" si="6"/>
        <v>400.58521083048424</v>
      </c>
      <c r="I44" s="77"/>
      <c r="J44" s="11">
        <v>2030</v>
      </c>
      <c r="K44" s="12">
        <f>C44*RefTables!$O154</f>
        <v>15.520942419121136</v>
      </c>
      <c r="L44" s="13">
        <f>D44*RefTables!$O154</f>
        <v>-3.0631650706313573</v>
      </c>
      <c r="M44" s="13">
        <f>E44*RefTables!$O154</f>
        <v>-1.8274467268567207</v>
      </c>
      <c r="N44" s="344">
        <f>Inputs_AnnualElectric!P31*10^-6+UPDATES!N25</f>
        <v>8.402820191540318</v>
      </c>
      <c r="O44" s="347">
        <f>O23*RefTables!I180/1000</f>
        <v>0</v>
      </c>
      <c r="P44" s="239">
        <f t="shared" si="7"/>
        <v>19.033150813173375</v>
      </c>
      <c r="Q44" s="12">
        <f>RefTables!$G$227</f>
        <v>18.676721162166132</v>
      </c>
      <c r="R44" s="361" t="str">
        <f>IF(P44&lt;=Q44,"Yes","No")</f>
        <v>No</v>
      </c>
      <c r="T44" s="108">
        <f>SUM(C44:E44)</f>
        <v>200.5812741638176</v>
      </c>
      <c r="U44" s="108">
        <f>SUM(F44:G44)</f>
        <v>200.00393666666665</v>
      </c>
      <c r="V44" s="108">
        <f>SUM(T44:U44)</f>
        <v>400.58521083048424</v>
      </c>
    </row>
    <row r="45" spans="2:22" ht="18" thickBot="1" x14ac:dyDescent="0.4">
      <c r="C45" s="184"/>
      <c r="D45" s="184"/>
      <c r="E45" s="184"/>
      <c r="F45" s="184"/>
      <c r="H45" s="184"/>
      <c r="T45" s="108">
        <f>SUM(S1_BaseRefNGNoHydro!C44:E44)</f>
        <v>225.90315488521318</v>
      </c>
      <c r="U45" s="108">
        <f>SUM(S1_BaseRefNGNoHydro!F44:G44)</f>
        <v>260.96051999999997</v>
      </c>
      <c r="V45" s="108">
        <f>SUM(T45:U45)</f>
        <v>486.86367488521319</v>
      </c>
    </row>
    <row r="46" spans="2:22" ht="19.5" customHeight="1" x14ac:dyDescent="0.4">
      <c r="B46" s="444" t="s">
        <v>266</v>
      </c>
      <c r="C46" s="448" t="s">
        <v>438</v>
      </c>
      <c r="D46" s="449"/>
      <c r="E46" s="449"/>
      <c r="F46" s="449"/>
      <c r="G46" s="449"/>
      <c r="H46" s="449"/>
      <c r="I46" s="449"/>
      <c r="J46" s="449"/>
      <c r="K46" s="449"/>
      <c r="L46" s="450"/>
      <c r="M46" s="448" t="s">
        <v>439</v>
      </c>
      <c r="N46" s="449"/>
      <c r="O46" s="449"/>
      <c r="P46" s="450"/>
      <c r="Q46" s="442" t="s">
        <v>426</v>
      </c>
      <c r="T46" s="77">
        <f>T44/T45-1</f>
        <v>-0.11209175336334831</v>
      </c>
      <c r="U46" s="77">
        <f t="shared" ref="U46" si="8">U44/U45-1</f>
        <v>-0.23358546087099052</v>
      </c>
      <c r="V46" s="77">
        <f>V44/V45-1</f>
        <v>-0.17721277742700903</v>
      </c>
    </row>
    <row r="47" spans="2:22" ht="52.5" thickBot="1" x14ac:dyDescent="0.4">
      <c r="B47" s="445"/>
      <c r="C47" s="151" t="s">
        <v>456</v>
      </c>
      <c r="D47" s="152" t="s">
        <v>425</v>
      </c>
      <c r="E47" s="152" t="s">
        <v>424</v>
      </c>
      <c r="F47" s="152" t="s">
        <v>349</v>
      </c>
      <c r="G47" s="152" t="s">
        <v>329</v>
      </c>
      <c r="H47" s="152" t="s">
        <v>328</v>
      </c>
      <c r="I47" s="152" t="s">
        <v>267</v>
      </c>
      <c r="J47" s="152" t="s">
        <v>107</v>
      </c>
      <c r="K47" s="152" t="s">
        <v>106</v>
      </c>
      <c r="L47" s="152" t="s">
        <v>1</v>
      </c>
      <c r="M47" s="151" t="s">
        <v>20</v>
      </c>
      <c r="N47" s="152" t="s">
        <v>429</v>
      </c>
      <c r="O47" s="152" t="s">
        <v>430</v>
      </c>
      <c r="P47" s="153" t="s">
        <v>1</v>
      </c>
      <c r="Q47" s="443"/>
    </row>
    <row r="48" spans="2:22" x14ac:dyDescent="0.35">
      <c r="B48" s="9">
        <v>2015</v>
      </c>
      <c r="C48" s="286">
        <f>(C29+SUM(D29:E29))*RefTables!$G189</f>
        <v>873.07298178946098</v>
      </c>
      <c r="D48" s="283">
        <f>Inputs_SupplyCurve!H29</f>
        <v>137.59396913152196</v>
      </c>
      <c r="E48" s="283">
        <f>Inputs_SupplyCurve!K29</f>
        <v>506.56634289154363</v>
      </c>
      <c r="F48" s="283">
        <f>Inputs_SupplyCurve!L29</f>
        <v>97.003539999999987</v>
      </c>
      <c r="G48" s="283">
        <f>SUMIFS(PriceSpikes!$O$7:$O$198,PriceSpikes!$B$7:$B$198,B48)</f>
        <v>0</v>
      </c>
      <c r="H48" s="283">
        <f>BalancingMeasures!$M$15*S8*10^-6</f>
        <v>0</v>
      </c>
      <c r="I48" s="283">
        <f>Inputs_AnnualElectric!Q16+UPDATES!Z10</f>
        <v>2190.7641072519523</v>
      </c>
      <c r="J48" s="283">
        <f>T8*BalancingMeasures!$I$10*10^-6</f>
        <v>1.008</v>
      </c>
      <c r="K48" s="283">
        <f>U8*BalancingMeasures!$J$9/1000</f>
        <v>10.752000000000001</v>
      </c>
      <c r="L48" s="283">
        <f t="shared" ref="L48:L63" si="9">SUM(C48:K48)</f>
        <v>3816.7609410644786</v>
      </c>
      <c r="M48" s="286">
        <f>Inputs_SupplyCurve!I29</f>
        <v>0</v>
      </c>
      <c r="N48" s="283">
        <f>Inputs_SupplyCurve!J29+UPDATES!V10</f>
        <v>2.4828138586706974</v>
      </c>
      <c r="O48" s="283"/>
      <c r="P48" s="18">
        <f>SUM(M48:O48)</f>
        <v>2.4828138586706974</v>
      </c>
      <c r="Q48" s="289">
        <f>L48-S1_BaseRefNGNoHydro!L48+P48</f>
        <v>11.287427640083779</v>
      </c>
      <c r="R48" s="83"/>
    </row>
    <row r="49" spans="2:18" x14ac:dyDescent="0.35">
      <c r="B49" s="10">
        <v>2016</v>
      </c>
      <c r="C49" s="287">
        <f>(C30+SUM(D30:E30))*RefTables!$G190</f>
        <v>961.89434932086203</v>
      </c>
      <c r="D49" s="284">
        <f>Inputs_SupplyCurve!H30</f>
        <v>178.98250934786873</v>
      </c>
      <c r="E49" s="284">
        <f>Inputs_SupplyCurve!K30</f>
        <v>579.70239486493267</v>
      </c>
      <c r="F49" s="284">
        <f>Inputs_SupplyCurve!L30</f>
        <v>0</v>
      </c>
      <c r="G49" s="284">
        <f>SUMIFS(PriceSpikes!$O$7:$O$198,PriceSpikes!$B$7:$B$198,B49)</f>
        <v>-4.3963514292003888E-2</v>
      </c>
      <c r="H49" s="284">
        <f>BalancingMeasures!$M$15*S9*10^-6</f>
        <v>0</v>
      </c>
      <c r="I49" s="284">
        <f>Inputs_AnnualElectric!Q17+UPDATES!Z11</f>
        <v>2280.8871469163419</v>
      </c>
      <c r="J49" s="284">
        <f>T9*BalancingMeasures!$I$10*10^-6</f>
        <v>0</v>
      </c>
      <c r="K49" s="284">
        <f>U9*BalancingMeasures!$J$9/1000</f>
        <v>0</v>
      </c>
      <c r="L49" s="284">
        <f t="shared" si="9"/>
        <v>4001.4224369357134</v>
      </c>
      <c r="M49" s="287">
        <f>Inputs_SupplyCurve!I30</f>
        <v>0</v>
      </c>
      <c r="N49" s="284">
        <f>Inputs_SupplyCurve!J30+UPDATES!V11</f>
        <v>19.440332253718864</v>
      </c>
      <c r="O49" s="284"/>
      <c r="P49" s="19">
        <f t="shared" ref="P49:P63" si="10">SUM(M49:O49)</f>
        <v>19.440332253718864</v>
      </c>
      <c r="Q49" s="290">
        <f>L49-S1_BaseRefNGNoHydro!L49+P49</f>
        <v>13.999323889352766</v>
      </c>
      <c r="R49" s="83"/>
    </row>
    <row r="50" spans="2:18" x14ac:dyDescent="0.35">
      <c r="B50" s="10">
        <v>2017</v>
      </c>
      <c r="C50" s="287">
        <f>(C31+SUM(D31:E31))*RefTables!$G191</f>
        <v>1008.9049223116206</v>
      </c>
      <c r="D50" s="284">
        <f>Inputs_SupplyCurve!H31</f>
        <v>214.12493968163085</v>
      </c>
      <c r="E50" s="284">
        <f>Inputs_SupplyCurve!K31</f>
        <v>650.65893492244231</v>
      </c>
      <c r="F50" s="284">
        <f>Inputs_SupplyCurve!L31</f>
        <v>0</v>
      </c>
      <c r="G50" s="284">
        <f>SUMIFS(PriceSpikes!$O$7:$O$198,PriceSpikes!$B$7:$B$198,B50)</f>
        <v>0</v>
      </c>
      <c r="H50" s="284">
        <f>BalancingMeasures!$M$15*S10*10^-6</f>
        <v>0</v>
      </c>
      <c r="I50" s="284">
        <f>Inputs_AnnualElectric!Q18+UPDATES!Z12</f>
        <v>2245.8415116141773</v>
      </c>
      <c r="J50" s="284">
        <f>T10*BalancingMeasures!$I$10*10^-6</f>
        <v>0</v>
      </c>
      <c r="K50" s="284">
        <f>U10*BalancingMeasures!$J$9/1000</f>
        <v>0</v>
      </c>
      <c r="L50" s="284">
        <f t="shared" si="9"/>
        <v>4119.530308529871</v>
      </c>
      <c r="M50" s="287">
        <f>Inputs_SupplyCurve!I31</f>
        <v>0</v>
      </c>
      <c r="N50" s="284">
        <f>Inputs_SupplyCurve!J31+UPDATES!V12</f>
        <v>30.163855179482493</v>
      </c>
      <c r="O50" s="284"/>
      <c r="P50" s="19">
        <f t="shared" si="10"/>
        <v>30.163855179482493</v>
      </c>
      <c r="Q50" s="290">
        <f>L50-S1_BaseRefNGNoHydro!L50+P50</f>
        <v>63.819087618632537</v>
      </c>
      <c r="R50" s="83"/>
    </row>
    <row r="51" spans="2:18" x14ac:dyDescent="0.35">
      <c r="B51" s="10">
        <v>2018</v>
      </c>
      <c r="C51" s="287">
        <f>(C32+SUM(D32:E32))*RefTables!$G192</f>
        <v>1092.3763128597823</v>
      </c>
      <c r="D51" s="284">
        <f>Inputs_SupplyCurve!H32</f>
        <v>245.70120814380834</v>
      </c>
      <c r="E51" s="284">
        <f>Inputs_SupplyCurve!K32</f>
        <v>714.18419669052332</v>
      </c>
      <c r="F51" s="284">
        <f>Inputs_SupplyCurve!L32</f>
        <v>0</v>
      </c>
      <c r="G51" s="284">
        <f>SUMIFS(PriceSpikes!$O$7:$O$198,PriceSpikes!$B$7:$B$198,B51)</f>
        <v>0</v>
      </c>
      <c r="H51" s="284">
        <f>BalancingMeasures!$M$15*S11*10^-6</f>
        <v>0</v>
      </c>
      <c r="I51" s="284">
        <f>Inputs_AnnualElectric!Q19+UPDATES!Z13</f>
        <v>2292.1168904119268</v>
      </c>
      <c r="J51" s="284">
        <f>T11*BalancingMeasures!$I$10*10^-6</f>
        <v>0</v>
      </c>
      <c r="K51" s="284">
        <f>U11*BalancingMeasures!$J$9/1000</f>
        <v>0</v>
      </c>
      <c r="L51" s="284">
        <f t="shared" si="9"/>
        <v>4344.3786081060407</v>
      </c>
      <c r="M51" s="287">
        <f>Inputs_SupplyCurve!I32</f>
        <v>0</v>
      </c>
      <c r="N51" s="284">
        <f>Inputs_SupplyCurve!J32+UPDATES!V13</f>
        <v>40.968270737034089</v>
      </c>
      <c r="O51" s="284"/>
      <c r="P51" s="19">
        <f t="shared" si="10"/>
        <v>40.968270737034089</v>
      </c>
      <c r="Q51" s="290">
        <f>L51-S1_BaseRefNGNoHydro!L51+P51</f>
        <v>84.70016867664819</v>
      </c>
      <c r="R51" s="83"/>
    </row>
    <row r="52" spans="2:18" x14ac:dyDescent="0.35">
      <c r="B52" s="10">
        <v>2019</v>
      </c>
      <c r="C52" s="287">
        <f>(C33+SUM(D33:E33))*RefTables!$G193</f>
        <v>1053.8155662612039</v>
      </c>
      <c r="D52" s="284">
        <f>Inputs_SupplyCurve!H33</f>
        <v>276.60939981847474</v>
      </c>
      <c r="E52" s="284">
        <f>Inputs_SupplyCurve!K33</f>
        <v>769.66986592833086</v>
      </c>
      <c r="F52" s="284">
        <f>Inputs_SupplyCurve!L33</f>
        <v>0</v>
      </c>
      <c r="G52" s="284">
        <f>SUMIFS(PriceSpikes!$O$7:$O$198,PriceSpikes!$B$7:$B$198,B52)</f>
        <v>0</v>
      </c>
      <c r="H52" s="284">
        <f>BalancingMeasures!$M$15*S12*10^-6</f>
        <v>0</v>
      </c>
      <c r="I52" s="284">
        <f>Inputs_AnnualElectric!Q20+UPDATES!Z14</f>
        <v>2237.5561554367223</v>
      </c>
      <c r="J52" s="284">
        <f>T12*BalancingMeasures!$I$10*10^-6</f>
        <v>0</v>
      </c>
      <c r="K52" s="284">
        <f>U12*BalancingMeasures!$J$9/1000</f>
        <v>0</v>
      </c>
      <c r="L52" s="284">
        <f t="shared" si="9"/>
        <v>4337.650987444732</v>
      </c>
      <c r="M52" s="287">
        <f>Inputs_SupplyCurve!I33</f>
        <v>0</v>
      </c>
      <c r="N52" s="284">
        <f>Inputs_SupplyCurve!J33+UPDATES!V14</f>
        <v>51.853578926373672</v>
      </c>
      <c r="O52" s="284"/>
      <c r="P52" s="19">
        <f t="shared" si="10"/>
        <v>51.853578926373672</v>
      </c>
      <c r="Q52" s="290">
        <f>L52-S1_BaseRefNGNoHydro!L52+P52</f>
        <v>80.184125733472143</v>
      </c>
      <c r="R52" s="83"/>
    </row>
    <row r="53" spans="2:18" x14ac:dyDescent="0.35">
      <c r="B53" s="10">
        <v>2020</v>
      </c>
      <c r="C53" s="287">
        <f>(C34+SUM(D34:E34))*RefTables!$G194</f>
        <v>976.05704996084205</v>
      </c>
      <c r="D53" s="284">
        <f>Inputs_SupplyCurve!H34</f>
        <v>308.41130228773204</v>
      </c>
      <c r="E53" s="284">
        <f>Inputs_SupplyCurve!K34</f>
        <v>820.86807454247037</v>
      </c>
      <c r="F53" s="284">
        <f>Inputs_SupplyCurve!L34</f>
        <v>0</v>
      </c>
      <c r="G53" s="284">
        <f>SUMIFS(PriceSpikes!$O$7:$O$198,PriceSpikes!$B$7:$B$198,B53)</f>
        <v>-3478.935003734111</v>
      </c>
      <c r="H53" s="284">
        <f>BalancingMeasures!$M$15*S13*10^-6</f>
        <v>34.783390959968031</v>
      </c>
      <c r="I53" s="284">
        <f>Inputs_AnnualElectric!Q21+UPDATES!Z15</f>
        <v>1969.9439737053617</v>
      </c>
      <c r="J53" s="284">
        <f>T13*BalancingMeasures!$I$10*10^-6</f>
        <v>0</v>
      </c>
      <c r="K53" s="284">
        <f>U13*BalancingMeasures!$J$9/1000</f>
        <v>0</v>
      </c>
      <c r="L53" s="284">
        <f t="shared" si="9"/>
        <v>631.1287877222635</v>
      </c>
      <c r="M53" s="287">
        <f>Inputs_SupplyCurve!I34</f>
        <v>0</v>
      </c>
      <c r="N53" s="284">
        <f>Inputs_SupplyCurve!J34+UPDATES!V15</f>
        <v>62.819779747501215</v>
      </c>
      <c r="O53" s="284"/>
      <c r="P53" s="19">
        <f t="shared" si="10"/>
        <v>62.819779747501215</v>
      </c>
      <c r="Q53" s="290">
        <f>L53-S1_BaseRefNGNoHydro!L53+P53</f>
        <v>24.282940431652023</v>
      </c>
      <c r="R53" s="83"/>
    </row>
    <row r="54" spans="2:18" x14ac:dyDescent="0.35">
      <c r="B54" s="10">
        <v>2021</v>
      </c>
      <c r="C54" s="287">
        <f>(C35+SUM(D35:E35))*RefTables!$G195</f>
        <v>1022.0887357885675</v>
      </c>
      <c r="D54" s="284">
        <f>Inputs_SupplyCurve!H35</f>
        <v>334.92457133374</v>
      </c>
      <c r="E54" s="284">
        <f>Inputs_SupplyCurve!K35</f>
        <v>869.07403191821254</v>
      </c>
      <c r="F54" s="284">
        <f>Inputs_SupplyCurve!L35</f>
        <v>0</v>
      </c>
      <c r="G54" s="284">
        <f>SUMIFS(PriceSpikes!$O$7:$O$198,PriceSpikes!$B$7:$B$198,B54)</f>
        <v>-3430.4046115732012</v>
      </c>
      <c r="H54" s="284">
        <f>BalancingMeasures!$M$15*S14*10^-6</f>
        <v>34.783390959968031</v>
      </c>
      <c r="I54" s="284">
        <f>Inputs_AnnualElectric!Q22+UPDATES!Z16</f>
        <v>1937.9271073968573</v>
      </c>
      <c r="J54" s="284">
        <f>T14*BalancingMeasures!$I$10*10^-6</f>
        <v>0</v>
      </c>
      <c r="K54" s="284">
        <f>U14*BalancingMeasures!$J$9/1000</f>
        <v>0</v>
      </c>
      <c r="L54" s="284">
        <f t="shared" si="9"/>
        <v>768.39322582414457</v>
      </c>
      <c r="M54" s="287">
        <f>Inputs_SupplyCurve!I35</f>
        <v>0</v>
      </c>
      <c r="N54" s="284">
        <f>Inputs_SupplyCurve!J35+UPDATES!V16</f>
        <v>143.47958665184211</v>
      </c>
      <c r="O54" s="284"/>
      <c r="P54" s="19">
        <f t="shared" si="10"/>
        <v>143.47958665184211</v>
      </c>
      <c r="Q54" s="290">
        <f>L54-S1_BaseRefNGNoHydro!L54+P54</f>
        <v>52.316333861813121</v>
      </c>
      <c r="R54" s="83"/>
    </row>
    <row r="55" spans="2:18" x14ac:dyDescent="0.35">
      <c r="B55" s="10">
        <v>2022</v>
      </c>
      <c r="C55" s="287">
        <f>(C36+SUM(D36:E36))*RefTables!$G196</f>
        <v>1041.2588311137442</v>
      </c>
      <c r="D55" s="284">
        <f>Inputs_SupplyCurve!H36</f>
        <v>358.56506012801765</v>
      </c>
      <c r="E55" s="284">
        <f>Inputs_SupplyCurve!K36</f>
        <v>914.59782634165924</v>
      </c>
      <c r="F55" s="284">
        <f>Inputs_SupplyCurve!L36</f>
        <v>0</v>
      </c>
      <c r="G55" s="284">
        <f>SUMIFS(PriceSpikes!$O$7:$O$198,PriceSpikes!$B$7:$B$198,B55)</f>
        <v>-3320.5341820563826</v>
      </c>
      <c r="H55" s="284">
        <f>BalancingMeasures!$M$15*S15*10^-6</f>
        <v>34.783390959968031</v>
      </c>
      <c r="I55" s="284">
        <f>Inputs_AnnualElectric!Q23+UPDATES!Z17</f>
        <v>1941.8966100076755</v>
      </c>
      <c r="J55" s="284">
        <f>T15*BalancingMeasures!$I$10*10^-6</f>
        <v>0</v>
      </c>
      <c r="K55" s="284">
        <f>U15*BalancingMeasures!$J$9/1000</f>
        <v>0</v>
      </c>
      <c r="L55" s="284">
        <f t="shared" si="9"/>
        <v>970.56753649468192</v>
      </c>
      <c r="M55" s="287">
        <f>Inputs_SupplyCurve!I36</f>
        <v>0</v>
      </c>
      <c r="N55" s="284">
        <f>Inputs_SupplyCurve!J36+UPDATES!V17</f>
        <v>223.61799937205052</v>
      </c>
      <c r="O55" s="284"/>
      <c r="P55" s="19">
        <f t="shared" si="10"/>
        <v>223.61799937205052</v>
      </c>
      <c r="Q55" s="290">
        <f>L55-S1_BaseRefNGNoHydro!L55+P55</f>
        <v>76.250298234775357</v>
      </c>
      <c r="R55" s="83"/>
    </row>
    <row r="56" spans="2:18" x14ac:dyDescent="0.35">
      <c r="B56" s="10">
        <v>2023</v>
      </c>
      <c r="C56" s="287">
        <f>(C37+SUM(D37:E37))*RefTables!$G197</f>
        <v>1059.0969979600868</v>
      </c>
      <c r="D56" s="284">
        <f>Inputs_SupplyCurve!H37</f>
        <v>376.06410531864424</v>
      </c>
      <c r="E56" s="284">
        <f>Inputs_SupplyCurve!K37</f>
        <v>957.31887247311624</v>
      </c>
      <c r="F56" s="284">
        <f>Inputs_SupplyCurve!L37</f>
        <v>0</v>
      </c>
      <c r="G56" s="284">
        <f>SUMIFS(PriceSpikes!$O$7:$O$198,PriceSpikes!$B$7:$B$198,B56)</f>
        <v>-3326.6961369673627</v>
      </c>
      <c r="H56" s="284">
        <f>BalancingMeasures!$M$15*S16*10^-6</f>
        <v>34.783390959968031</v>
      </c>
      <c r="I56" s="284">
        <f>Inputs_AnnualElectric!Q24+UPDATES!Z18</f>
        <v>1952.7033108830249</v>
      </c>
      <c r="J56" s="284">
        <f>T16*BalancingMeasures!$I$10*10^-6</f>
        <v>0</v>
      </c>
      <c r="K56" s="284">
        <f>U16*BalancingMeasures!$J$9/1000</f>
        <v>0</v>
      </c>
      <c r="L56" s="284">
        <f t="shared" si="9"/>
        <v>1053.2705406274774</v>
      </c>
      <c r="M56" s="287">
        <f>Inputs_SupplyCurve!I37</f>
        <v>0</v>
      </c>
      <c r="N56" s="284">
        <f>Inputs_SupplyCurve!J37+UPDATES!V18</f>
        <v>303.23501790812634</v>
      </c>
      <c r="O56" s="284"/>
      <c r="P56" s="19">
        <f t="shared" si="10"/>
        <v>303.23501790812634</v>
      </c>
      <c r="Q56" s="290">
        <f>L56-S1_BaseRefNGNoHydro!L56+P56</f>
        <v>99.635934634507748</v>
      </c>
      <c r="R56" s="83"/>
    </row>
    <row r="57" spans="2:18" x14ac:dyDescent="0.35">
      <c r="B57" s="10">
        <v>2024</v>
      </c>
      <c r="C57" s="287">
        <f>(C38+SUM(D38:E38))*RefTables!$G198</f>
        <v>1084.88012795481</v>
      </c>
      <c r="D57" s="284">
        <f>Inputs_SupplyCurve!H38</f>
        <v>396.43120882909466</v>
      </c>
      <c r="E57" s="284">
        <f>Inputs_SupplyCurve!K38</f>
        <v>996.46776975883404</v>
      </c>
      <c r="F57" s="284">
        <f>Inputs_SupplyCurve!L38</f>
        <v>0</v>
      </c>
      <c r="G57" s="284">
        <f>SUMIFS(PriceSpikes!$O$7:$O$198,PriceSpikes!$B$7:$B$198,B57)</f>
        <v>-3481.1248105583081</v>
      </c>
      <c r="H57" s="284">
        <f>BalancingMeasures!$M$15*S17*10^-6</f>
        <v>34.783390959968031</v>
      </c>
      <c r="I57" s="284">
        <f>Inputs_AnnualElectric!Q25+UPDATES!Z19</f>
        <v>1925.9355719113764</v>
      </c>
      <c r="J57" s="284">
        <f>T17*BalancingMeasures!$I$10*10^-6</f>
        <v>0</v>
      </c>
      <c r="K57" s="284">
        <f>U17*BalancingMeasures!$J$9/1000</f>
        <v>0</v>
      </c>
      <c r="L57" s="284">
        <f t="shared" si="9"/>
        <v>957.37325885577502</v>
      </c>
      <c r="M57" s="287">
        <f>Inputs_SupplyCurve!I38</f>
        <v>0</v>
      </c>
      <c r="N57" s="284">
        <f>Inputs_SupplyCurve!J38+UPDATES!V19</f>
        <v>382.33064226006968</v>
      </c>
      <c r="O57" s="284"/>
      <c r="P57" s="19">
        <f t="shared" si="10"/>
        <v>382.33064226006968</v>
      </c>
      <c r="Q57" s="290">
        <f>L57-S1_BaseRefNGNoHydro!L57+P57</f>
        <v>120.3620544481771</v>
      </c>
      <c r="R57" s="83"/>
    </row>
    <row r="58" spans="2:18" x14ac:dyDescent="0.35">
      <c r="B58" s="10">
        <v>2025</v>
      </c>
      <c r="C58" s="287">
        <f>(C39+SUM(D39:E39))*RefTables!$G199</f>
        <v>1092.0728143001083</v>
      </c>
      <c r="D58" s="284">
        <f>Inputs_SupplyCurve!H39</f>
        <v>416.29833553275068</v>
      </c>
      <c r="E58" s="284">
        <f>Inputs_SupplyCurve!K39</f>
        <v>1031.4920261822479</v>
      </c>
      <c r="F58" s="284">
        <f>Inputs_SupplyCurve!L39</f>
        <v>97.003539999999987</v>
      </c>
      <c r="G58" s="284">
        <f>SUMIFS(PriceSpikes!$O$7:$O$198,PriceSpikes!$B$7:$B$198,B58)</f>
        <v>-3440.0273792678959</v>
      </c>
      <c r="H58" s="284">
        <f>BalancingMeasures!$M$15*S18*10^-6</f>
        <v>34.783390959968031</v>
      </c>
      <c r="I58" s="284">
        <f>Inputs_AnnualElectric!Q26+UPDATES!Z20</f>
        <v>1915.1163689256036</v>
      </c>
      <c r="J58" s="284">
        <f>T18*BalancingMeasures!$I$10*10^-6</f>
        <v>0</v>
      </c>
      <c r="K58" s="284">
        <f>U18*BalancingMeasures!$J$9/1000</f>
        <v>0</v>
      </c>
      <c r="L58" s="284">
        <f t="shared" si="9"/>
        <v>1146.7390966327825</v>
      </c>
      <c r="M58" s="287">
        <f>Inputs_SupplyCurve!I39</f>
        <v>0</v>
      </c>
      <c r="N58" s="284">
        <f>Inputs_SupplyCurve!J39+UPDATES!V20</f>
        <v>460.90487242788049</v>
      </c>
      <c r="O58" s="284"/>
      <c r="P58" s="19">
        <f t="shared" si="10"/>
        <v>460.90487242788049</v>
      </c>
      <c r="Q58" s="290">
        <f>L58-S1_BaseRefNGNoHydro!L58+P58</f>
        <v>136.3678141471969</v>
      </c>
      <c r="R58" s="83"/>
    </row>
    <row r="59" spans="2:18" x14ac:dyDescent="0.35">
      <c r="B59" s="10">
        <v>2026</v>
      </c>
      <c r="C59" s="287">
        <f>(C40+SUM(D40:E40))*RefTables!$G200</f>
        <v>1105.9780422909755</v>
      </c>
      <c r="D59" s="284">
        <f>Inputs_SupplyCurve!H40</f>
        <v>435.39608562997785</v>
      </c>
      <c r="E59" s="284">
        <f>Inputs_SupplyCurve!K40</f>
        <v>1063.9776628284449</v>
      </c>
      <c r="F59" s="284">
        <f>Inputs_SupplyCurve!L40</f>
        <v>0</v>
      </c>
      <c r="G59" s="284">
        <f>SUMIFS(PriceSpikes!$O$7:$O$198,PriceSpikes!$B$7:$B$198,B59)</f>
        <v>-3459.7462355513067</v>
      </c>
      <c r="H59" s="284">
        <f>BalancingMeasures!$M$15*S19*10^-6</f>
        <v>34.783390959968031</v>
      </c>
      <c r="I59" s="284">
        <f>Inputs_AnnualElectric!Q27+UPDATES!Z21</f>
        <v>1921.5002112756968</v>
      </c>
      <c r="J59" s="284">
        <f>T19*BalancingMeasures!$I$10*10^-6</f>
        <v>0</v>
      </c>
      <c r="K59" s="284">
        <f>U19*BalancingMeasures!$J$9/1000</f>
        <v>0</v>
      </c>
      <c r="L59" s="284">
        <f t="shared" si="9"/>
        <v>1101.8891574337565</v>
      </c>
      <c r="M59" s="287">
        <f>Inputs_SupplyCurve!I40</f>
        <v>0</v>
      </c>
      <c r="N59" s="284">
        <f>Inputs_SupplyCurve!J40+UPDATES!V21</f>
        <v>538.95770841155877</v>
      </c>
      <c r="O59" s="284"/>
      <c r="P59" s="19">
        <f t="shared" si="10"/>
        <v>538.95770841155877</v>
      </c>
      <c r="Q59" s="290">
        <f>L59-S1_BaseRefNGNoHydro!L59+P59</f>
        <v>156.10875766015806</v>
      </c>
      <c r="R59" s="83"/>
    </row>
    <row r="60" spans="2:18" x14ac:dyDescent="0.35">
      <c r="B60" s="10">
        <v>2027</v>
      </c>
      <c r="C60" s="287">
        <f>(C41+SUM(D41:E41))*RefTables!$G201</f>
        <v>1120.9489485782137</v>
      </c>
      <c r="D60" s="284">
        <f>Inputs_SupplyCurve!H41</f>
        <v>453.92400148253785</v>
      </c>
      <c r="E60" s="284">
        <f>Inputs_SupplyCurve!K41</f>
        <v>1095.6589563061075</v>
      </c>
      <c r="F60" s="284">
        <f>Inputs_SupplyCurve!L41</f>
        <v>0</v>
      </c>
      <c r="G60" s="284">
        <f>SUMIFS(PriceSpikes!$O$7:$O$198,PriceSpikes!$B$7:$B$198,B60)</f>
        <v>-3477.4368437049698</v>
      </c>
      <c r="H60" s="284">
        <f>BalancingMeasures!$M$15*S20*10^-6</f>
        <v>34.783390959968031</v>
      </c>
      <c r="I60" s="284">
        <f>Inputs_AnnualElectric!Q28+UPDATES!Z22</f>
        <v>1906.9729763724376</v>
      </c>
      <c r="J60" s="284">
        <f>T20*BalancingMeasures!$I$10*10^-6</f>
        <v>0</v>
      </c>
      <c r="K60" s="284">
        <f>U20*BalancingMeasures!$J$9/1000</f>
        <v>0</v>
      </c>
      <c r="L60" s="284">
        <f t="shared" si="9"/>
        <v>1134.8514299942949</v>
      </c>
      <c r="M60" s="287">
        <f>Inputs_SupplyCurve!I41</f>
        <v>0</v>
      </c>
      <c r="N60" s="284">
        <f>Inputs_SupplyCurve!J41+UPDATES!V22</f>
        <v>616.48915021110452</v>
      </c>
      <c r="O60" s="284"/>
      <c r="P60" s="19">
        <f t="shared" si="10"/>
        <v>616.48915021110452</v>
      </c>
      <c r="Q60" s="290">
        <f>L60-S1_BaseRefNGNoHydro!L60+P60</f>
        <v>173.19121149115472</v>
      </c>
      <c r="R60" s="83"/>
    </row>
    <row r="61" spans="2:18" x14ac:dyDescent="0.35">
      <c r="B61" s="10">
        <v>2028</v>
      </c>
      <c r="C61" s="287">
        <f>(C42+SUM(D42:E42))*RefTables!$G202</f>
        <v>1135.707744932002</v>
      </c>
      <c r="D61" s="284">
        <f>Inputs_SupplyCurve!H42</f>
        <v>471.72277130741145</v>
      </c>
      <c r="E61" s="284">
        <f>Inputs_SupplyCurve!K42</f>
        <v>1120.7748389329322</v>
      </c>
      <c r="F61" s="284">
        <f>Inputs_SupplyCurve!L42</f>
        <v>0</v>
      </c>
      <c r="G61" s="284">
        <f>SUMIFS(PriceSpikes!$O$7:$O$198,PriceSpikes!$B$7:$B$198,B61)</f>
        <v>-3578.5774524857043</v>
      </c>
      <c r="H61" s="284">
        <f>BalancingMeasures!$M$15*S21*10^-6</f>
        <v>34.783390959968031</v>
      </c>
      <c r="I61" s="284">
        <f>Inputs_AnnualElectric!Q29+UPDATES!Z23</f>
        <v>1930.8337981503314</v>
      </c>
      <c r="J61" s="284">
        <f>T21*BalancingMeasures!$I$10*10^-6</f>
        <v>0</v>
      </c>
      <c r="K61" s="284">
        <f>U21*BalancingMeasures!$J$9/1000</f>
        <v>0</v>
      </c>
      <c r="L61" s="284">
        <f t="shared" si="9"/>
        <v>1115.2450917969409</v>
      </c>
      <c r="M61" s="287">
        <f>Inputs_SupplyCurve!I42</f>
        <v>0</v>
      </c>
      <c r="N61" s="284">
        <f>Inputs_SupplyCurve!J42+UPDATES!V23</f>
        <v>693.49919782651773</v>
      </c>
      <c r="O61" s="284"/>
      <c r="P61" s="19">
        <f t="shared" si="10"/>
        <v>693.49919782651773</v>
      </c>
      <c r="Q61" s="290">
        <f>L61-S1_BaseRefNGNoHydro!L61+P61</f>
        <v>178.33279232156815</v>
      </c>
      <c r="R61" s="83"/>
    </row>
    <row r="62" spans="2:18" x14ac:dyDescent="0.35">
      <c r="B62" s="10">
        <v>2029</v>
      </c>
      <c r="C62" s="287">
        <f>(C43+SUM(D43:E43))*RefTables!$G203</f>
        <v>1157.5487452008426</v>
      </c>
      <c r="D62" s="284">
        <f>Inputs_SupplyCurve!H43</f>
        <v>488.97832583960559</v>
      </c>
      <c r="E62" s="284">
        <f>Inputs_SupplyCurve!K43</f>
        <v>1145.8391388744885</v>
      </c>
      <c r="F62" s="284">
        <f>Inputs_SupplyCurve!L43</f>
        <v>0</v>
      </c>
      <c r="G62" s="284">
        <f>SUMIFS(PriceSpikes!$O$7:$O$198,PriceSpikes!$B$7:$B$198,B62)</f>
        <v>-3597.4172412566404</v>
      </c>
      <c r="H62" s="284">
        <f>BalancingMeasures!$M$15*S22*10^-6</f>
        <v>34.783390959968031</v>
      </c>
      <c r="I62" s="284">
        <f>Inputs_AnnualElectric!Q30+UPDATES!Z24</f>
        <v>1964.6614643076434</v>
      </c>
      <c r="J62" s="284">
        <f>T22*BalancingMeasures!$I$10*10^-6</f>
        <v>0</v>
      </c>
      <c r="K62" s="284">
        <f>U22*BalancingMeasures!$J$9/1000</f>
        <v>0</v>
      </c>
      <c r="L62" s="284">
        <f t="shared" si="9"/>
        <v>1194.393823925908</v>
      </c>
      <c r="M62" s="287">
        <f>Inputs_SupplyCurve!I43</f>
        <v>0</v>
      </c>
      <c r="N62" s="284">
        <f>Inputs_SupplyCurve!J43+UPDATES!V24</f>
        <v>769.98785125779841</v>
      </c>
      <c r="O62" s="284"/>
      <c r="P62" s="19">
        <f t="shared" si="10"/>
        <v>769.98785125779841</v>
      </c>
      <c r="Q62" s="290">
        <f>L62-S1_BaseRefNGNoHydro!L62+P62</f>
        <v>184.51009650876381</v>
      </c>
      <c r="R62" s="83"/>
    </row>
    <row r="63" spans="2:18" ht="18" thickBot="1" x14ac:dyDescent="0.4">
      <c r="B63" s="11">
        <v>2030</v>
      </c>
      <c r="C63" s="288">
        <f>(C44+SUM(D44:E44))*RefTables!$G204</f>
        <v>1198.9233995607799</v>
      </c>
      <c r="D63" s="285">
        <f>Inputs_SupplyCurve!H44</f>
        <v>505.70253232383402</v>
      </c>
      <c r="E63" s="285">
        <f>Inputs_SupplyCurve!K44</f>
        <v>1171.828130607023</v>
      </c>
      <c r="F63" s="285">
        <f>Inputs_SupplyCurve!L44</f>
        <v>0</v>
      </c>
      <c r="G63" s="285">
        <f>SUMIFS(PriceSpikes!$O$7:$O$198,PriceSpikes!$B$7:$B$198,B63)</f>
        <v>-3574.708828957886</v>
      </c>
      <c r="H63" s="285">
        <f>BalancingMeasures!$M$15*S23*10^-6</f>
        <v>34.783390959968031</v>
      </c>
      <c r="I63" s="285">
        <f>Inputs_AnnualElectric!Q31+UPDATES!Z25</f>
        <v>1955.4646873446645</v>
      </c>
      <c r="J63" s="285">
        <f>T23*BalancingMeasures!$I$10*10^-6</f>
        <v>0</v>
      </c>
      <c r="K63" s="285">
        <f>U23*BalancingMeasures!$J$9/1000</f>
        <v>0</v>
      </c>
      <c r="L63" s="285">
        <f t="shared" si="9"/>
        <v>1291.9933118383838</v>
      </c>
      <c r="M63" s="288">
        <f>Inputs_SupplyCurve!I44</f>
        <v>0</v>
      </c>
      <c r="N63" s="285">
        <f>Inputs_SupplyCurve!J44+UPDATES!V25</f>
        <v>845.95511050494667</v>
      </c>
      <c r="O63" s="285"/>
      <c r="P63" s="20">
        <f t="shared" si="10"/>
        <v>845.95511050494667</v>
      </c>
      <c r="Q63" s="291">
        <f>L63-S1_BaseRefNGNoHydro!L63+P63</f>
        <v>181.98295562400506</v>
      </c>
      <c r="R63" s="83"/>
    </row>
    <row r="64" spans="2:18" x14ac:dyDescent="0.35">
      <c r="B64" s="76"/>
      <c r="D64" s="184"/>
    </row>
  </sheetData>
  <mergeCells count="22">
    <mergeCell ref="B46:B47"/>
    <mergeCell ref="C46:L46"/>
    <mergeCell ref="M46:P46"/>
    <mergeCell ref="Q46:Q47"/>
    <mergeCell ref="B27:B28"/>
    <mergeCell ref="C27:E27"/>
    <mergeCell ref="J27:J28"/>
    <mergeCell ref="K27:M27"/>
    <mergeCell ref="Q27:R27"/>
    <mergeCell ref="B4:R4"/>
    <mergeCell ref="H27:H28"/>
    <mergeCell ref="P27:P28"/>
    <mergeCell ref="F27:G27"/>
    <mergeCell ref="N27:O27"/>
    <mergeCell ref="B25:R25"/>
    <mergeCell ref="C6:E6"/>
    <mergeCell ref="F6:G6"/>
    <mergeCell ref="Q6:R6"/>
    <mergeCell ref="H6:I6"/>
    <mergeCell ref="J6:K6"/>
    <mergeCell ref="L6:P6"/>
    <mergeCell ref="B6:B7"/>
  </mergeCells>
  <conditionalFormatting sqref="Q8:Q23">
    <cfRule type="expression" dxfId="16" priority="2">
      <formula>R8&lt;=95%</formula>
    </cfRule>
  </conditionalFormatting>
  <conditionalFormatting sqref="H8:H23">
    <cfRule type="expression" dxfId="15" priority="4">
      <formula>I8&lt;=95%</formula>
    </cfRule>
  </conditionalFormatting>
  <conditionalFormatting sqref="R34 R44 P34">
    <cfRule type="expression" dxfId="14" priority="1">
      <formula>$P$34&lt;=#REF!</formula>
    </cfRule>
  </conditionalFormatting>
  <conditionalFormatting sqref="P44">
    <cfRule type="expression" dxfId="13" priority="82">
      <formula>$P$44&lt;=#REF!</formula>
    </cfRule>
  </conditionalFormatting>
  <pageMargins left="0.7" right="0.7" top="0.75" bottom="0.75" header="0.3" footer="0.3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INDEX</vt:lpstr>
      <vt:lpstr>Charts</vt:lpstr>
      <vt:lpstr>UPDATES</vt:lpstr>
      <vt:lpstr>Inputs_AnnualElectric</vt:lpstr>
      <vt:lpstr>S1_BaseRefNGNoHydro</vt:lpstr>
      <vt:lpstr>S2_BaseLowNGNoHydro</vt:lpstr>
      <vt:lpstr>S3_BaseHighNGNoHydro</vt:lpstr>
      <vt:lpstr>S4_BaseRefNGHydro</vt:lpstr>
      <vt:lpstr>S5_LowRefNGNoHydro</vt:lpstr>
      <vt:lpstr>S6_LowLowNGNoHydro</vt:lpstr>
      <vt:lpstr>S7_LowHighNGNoHydro</vt:lpstr>
      <vt:lpstr>S8_LowRefNGHydro</vt:lpstr>
      <vt:lpstr>RefTables</vt:lpstr>
      <vt:lpstr>PriceSpikes</vt:lpstr>
      <vt:lpstr>BalancingMeasures</vt:lpstr>
      <vt:lpstr>Inputs_JanElectric</vt:lpstr>
      <vt:lpstr>Inputs_SupplyCurve</vt:lpstr>
      <vt:lpstr>AEO2014_NEWE_Cons</vt:lpstr>
      <vt:lpstr>AEO2014_NEWE_CO2</vt:lpstr>
      <vt:lpstr>S1_BaseRefNGNoHydro!Print_Area</vt:lpstr>
      <vt:lpstr>S2_BaseLowNGNoHydro!Print_Area</vt:lpstr>
      <vt:lpstr>S3_BaseHighNGNoHydro!Print_Area</vt:lpstr>
      <vt:lpstr>S4_BaseRefNGHydro!Print_Area</vt:lpstr>
      <vt:lpstr>S5_LowRefNGNoHydro!Print_Area</vt:lpstr>
      <vt:lpstr>S6_LowLowNGNoHydro!Print_Area</vt:lpstr>
      <vt:lpstr>S7_LowHighNGNoHydro!Print_Area</vt:lpstr>
      <vt:lpstr>S8_LowRefNGHydro!Print_Area</vt:lpstr>
      <vt:lpstr>shortton_per_metricton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Knight</dc:creator>
  <cp:lastModifiedBy>Patrick Knight</cp:lastModifiedBy>
  <cp:lastPrinted>2015-01-05T19:19:25Z</cp:lastPrinted>
  <dcterms:created xsi:type="dcterms:W3CDTF">2014-11-03T22:44:58Z</dcterms:created>
  <dcterms:modified xsi:type="dcterms:W3CDTF">2015-01-08T15:54:50Z</dcterms:modified>
</cp:coreProperties>
</file>